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lmedernach/Desktop/"/>
    </mc:Choice>
  </mc:AlternateContent>
  <xr:revisionPtr revIDLastSave="0" documentId="13_ncr:1_{89C54F50-3D38-F04A-9152-0A05520E338D}" xr6:coauthVersionLast="47" xr6:coauthVersionMax="47" xr10:uidLastSave="{00000000-0000-0000-0000-000000000000}"/>
  <workbookProtection lockStructure="1"/>
  <bookViews>
    <workbookView xWindow="8840" yWindow="2920" windowWidth="23260" windowHeight="12580" xr2:uid="{00000000-000D-0000-FFFF-FFFF00000000}"/>
  </bookViews>
  <sheets>
    <sheet name="Introduction" sheetId="1" r:id="rId1"/>
    <sheet name="C_Financier" sheetId="2" r:id="rId2"/>
    <sheet name="PQI" sheetId="3" r:id="rId3"/>
    <sheet name="Economique" sheetId="4" r:id="rId4"/>
    <sheet name="Simulation" sheetId="5" r:id="rId5"/>
    <sheet name="graphique" sheetId="6" r:id="rId6"/>
    <sheet name="resume" sheetId="7" r:id="rId7"/>
  </sheets>
  <definedNames>
    <definedName name="Postes_Bud_Revenus">Simulation!$A$303:$A$312</definedName>
    <definedName name="Principaux_portefeuilles">Simulation!$A$287:$A$298</definedName>
    <definedName name="Sc_econo">Introduction!$C$4</definedName>
    <definedName name="Sc_prevision">Introduction!$C$3</definedName>
    <definedName name="Taux_interets">Simulation!$B$317:$B$417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5" i="5" l="1"/>
  <c r="G49" i="5"/>
  <c r="F155" i="5"/>
  <c r="E155" i="5"/>
  <c r="E239" i="5" s="1"/>
  <c r="E153" i="5"/>
  <c r="E237" i="5" s="1"/>
  <c r="F153" i="5"/>
  <c r="F237" i="5" s="1"/>
  <c r="G153" i="5"/>
  <c r="G151" i="5"/>
  <c r="F151" i="5"/>
  <c r="E151" i="5"/>
  <c r="E149" i="5"/>
  <c r="F149" i="5"/>
  <c r="G149" i="5"/>
  <c r="G147" i="5"/>
  <c r="F147" i="5"/>
  <c r="F231" i="5" s="1"/>
  <c r="E147" i="5"/>
  <c r="E148" i="5" s="1"/>
  <c r="E145" i="5"/>
  <c r="F145" i="5"/>
  <c r="G145" i="5"/>
  <c r="G143" i="5"/>
  <c r="F143" i="5"/>
  <c r="E143" i="5"/>
  <c r="E141" i="5"/>
  <c r="F141" i="5"/>
  <c r="G141" i="5"/>
  <c r="G139" i="5"/>
  <c r="F139" i="5"/>
  <c r="E139" i="5"/>
  <c r="G137" i="5"/>
  <c r="E137" i="5"/>
  <c r="F137" i="5"/>
  <c r="B12" i="7"/>
  <c r="B19" i="7"/>
  <c r="B9" i="7"/>
  <c r="F8" i="7"/>
  <c r="E8" i="7"/>
  <c r="F3" i="7"/>
  <c r="E3" i="7"/>
  <c r="D3" i="7"/>
  <c r="C3" i="7"/>
  <c r="B3" i="7"/>
  <c r="I251" i="5"/>
  <c r="H251" i="5"/>
  <c r="G251" i="5"/>
  <c r="F251" i="5"/>
  <c r="E251" i="5"/>
  <c r="D251" i="5"/>
  <c r="C251" i="5"/>
  <c r="B250" i="5"/>
  <c r="B247" i="5"/>
  <c r="B243" i="5"/>
  <c r="B237" i="5"/>
  <c r="D235" i="5"/>
  <c r="B235" i="5"/>
  <c r="B233" i="5"/>
  <c r="B231" i="5"/>
  <c r="D229" i="5"/>
  <c r="B229" i="5"/>
  <c r="D227" i="5"/>
  <c r="B227" i="5"/>
  <c r="B225" i="5"/>
  <c r="B223" i="5"/>
  <c r="D221" i="5"/>
  <c r="B221" i="5"/>
  <c r="B216" i="5"/>
  <c r="B213" i="5"/>
  <c r="B212" i="5"/>
  <c r="B211" i="5"/>
  <c r="B210" i="5"/>
  <c r="B209" i="5"/>
  <c r="B208" i="5"/>
  <c r="B207" i="5"/>
  <c r="B206" i="5"/>
  <c r="I194" i="5"/>
  <c r="H194" i="5"/>
  <c r="G194" i="5"/>
  <c r="F194" i="5"/>
  <c r="E194" i="5"/>
  <c r="D194" i="5"/>
  <c r="D198" i="5" s="1"/>
  <c r="D199" i="5" s="1"/>
  <c r="D189" i="5"/>
  <c r="D188" i="5"/>
  <c r="I184" i="5"/>
  <c r="H184" i="5"/>
  <c r="G184" i="5"/>
  <c r="F184" i="5"/>
  <c r="E184" i="5"/>
  <c r="D184" i="5"/>
  <c r="C179" i="5"/>
  <c r="C169" i="5"/>
  <c r="C253" i="5" s="1"/>
  <c r="E166" i="5"/>
  <c r="E250" i="5" s="1"/>
  <c r="D166" i="5"/>
  <c r="D250" i="5" s="1"/>
  <c r="C166" i="5"/>
  <c r="C250" i="5" s="1"/>
  <c r="I163" i="5"/>
  <c r="I247" i="5" s="1"/>
  <c r="H163" i="5"/>
  <c r="H247" i="5" s="1"/>
  <c r="G163" i="5"/>
  <c r="G247" i="5" s="1"/>
  <c r="F163" i="5"/>
  <c r="F247" i="5" s="1"/>
  <c r="E163" i="5"/>
  <c r="E247" i="5" s="1"/>
  <c r="D163" i="5"/>
  <c r="D247" i="5" s="1"/>
  <c r="C163" i="5"/>
  <c r="C247" i="5" s="1"/>
  <c r="B163" i="5"/>
  <c r="I162" i="5"/>
  <c r="F15" i="7" s="1"/>
  <c r="H162" i="5"/>
  <c r="E15" i="7" s="1"/>
  <c r="G162" i="5"/>
  <c r="G246" i="5" s="1"/>
  <c r="F162" i="5"/>
  <c r="F246" i="5" s="1"/>
  <c r="E162" i="5"/>
  <c r="E246" i="5" s="1"/>
  <c r="D162" i="5"/>
  <c r="D246" i="5" s="1"/>
  <c r="C162" i="5"/>
  <c r="C246" i="5" s="1"/>
  <c r="C159" i="5"/>
  <c r="C243" i="5" s="1"/>
  <c r="B159" i="5"/>
  <c r="D155" i="5"/>
  <c r="D239" i="5" s="1"/>
  <c r="C155" i="5"/>
  <c r="C239" i="5" s="1"/>
  <c r="D153" i="5"/>
  <c r="D237" i="5" s="1"/>
  <c r="C153" i="5"/>
  <c r="C237" i="5" s="1"/>
  <c r="B153" i="5"/>
  <c r="D151" i="5"/>
  <c r="C151" i="5"/>
  <c r="C235" i="5" s="1"/>
  <c r="B151" i="5"/>
  <c r="D149" i="5"/>
  <c r="D233" i="5" s="1"/>
  <c r="C149" i="5"/>
  <c r="C233" i="5" s="1"/>
  <c r="B149" i="5"/>
  <c r="D147" i="5"/>
  <c r="D231" i="5" s="1"/>
  <c r="C147" i="5"/>
  <c r="C231" i="5" s="1"/>
  <c r="B147" i="5"/>
  <c r="D145" i="5"/>
  <c r="C145" i="5"/>
  <c r="C229" i="5" s="1"/>
  <c r="B145" i="5"/>
  <c r="D143" i="5"/>
  <c r="C143" i="5"/>
  <c r="C227" i="5" s="1"/>
  <c r="B143" i="5"/>
  <c r="D141" i="5"/>
  <c r="D225" i="5" s="1"/>
  <c r="C141" i="5"/>
  <c r="C225" i="5" s="1"/>
  <c r="B141" i="5"/>
  <c r="D139" i="5"/>
  <c r="C139" i="5"/>
  <c r="C223" i="5" s="1"/>
  <c r="B139" i="5"/>
  <c r="D138" i="5"/>
  <c r="D222" i="5" s="1"/>
  <c r="D137" i="5"/>
  <c r="C137" i="5"/>
  <c r="C221" i="5" s="1"/>
  <c r="B137" i="5"/>
  <c r="D133" i="5"/>
  <c r="D217" i="5" s="1"/>
  <c r="C133" i="5"/>
  <c r="I132" i="5"/>
  <c r="H132" i="5"/>
  <c r="H133" i="5" s="1"/>
  <c r="G132" i="5"/>
  <c r="G216" i="5" s="1"/>
  <c r="F132" i="5"/>
  <c r="F216" i="5" s="1"/>
  <c r="E132" i="5"/>
  <c r="E216" i="5" s="1"/>
  <c r="D132" i="5"/>
  <c r="D216" i="5" s="1"/>
  <c r="C132" i="5"/>
  <c r="C216" i="5" s="1"/>
  <c r="B132" i="5"/>
  <c r="D131" i="5"/>
  <c r="D215" i="5" s="1"/>
  <c r="C131" i="5"/>
  <c r="I129" i="5"/>
  <c r="I213" i="5" s="1"/>
  <c r="H129" i="5"/>
  <c r="H213" i="5" s="1"/>
  <c r="G129" i="5"/>
  <c r="G213" i="5" s="1"/>
  <c r="F129" i="5"/>
  <c r="F213" i="5" s="1"/>
  <c r="E129" i="5"/>
  <c r="E213" i="5" s="1"/>
  <c r="D129" i="5"/>
  <c r="D213" i="5" s="1"/>
  <c r="C129" i="5"/>
  <c r="C213" i="5" s="1"/>
  <c r="B129" i="5"/>
  <c r="I128" i="5"/>
  <c r="I212" i="5" s="1"/>
  <c r="H128" i="5"/>
  <c r="H212" i="5" s="1"/>
  <c r="G128" i="5"/>
  <c r="G212" i="5" s="1"/>
  <c r="F128" i="5"/>
  <c r="F212" i="5" s="1"/>
  <c r="E128" i="5"/>
  <c r="E212" i="5" s="1"/>
  <c r="D128" i="5"/>
  <c r="D212" i="5" s="1"/>
  <c r="C128" i="5"/>
  <c r="C212" i="5" s="1"/>
  <c r="B128" i="5"/>
  <c r="I127" i="5"/>
  <c r="I211" i="5" s="1"/>
  <c r="D127" i="5"/>
  <c r="D211" i="5" s="1"/>
  <c r="C127" i="5"/>
  <c r="C211" i="5" s="1"/>
  <c r="B127" i="5"/>
  <c r="F127" i="5" s="1"/>
  <c r="F211" i="5" s="1"/>
  <c r="D126" i="5"/>
  <c r="D210" i="5" s="1"/>
  <c r="C126" i="5"/>
  <c r="C210" i="5" s="1"/>
  <c r="B126" i="5"/>
  <c r="E126" i="5" s="1"/>
  <c r="E210" i="5" s="1"/>
  <c r="D125" i="5"/>
  <c r="D209" i="5" s="1"/>
  <c r="C125" i="5"/>
  <c r="C209" i="5" s="1"/>
  <c r="B125" i="5"/>
  <c r="F125" i="5" s="1"/>
  <c r="F209" i="5" s="1"/>
  <c r="D124" i="5"/>
  <c r="D208" i="5" s="1"/>
  <c r="C124" i="5"/>
  <c r="C208" i="5" s="1"/>
  <c r="B124" i="5"/>
  <c r="D123" i="5"/>
  <c r="D207" i="5" s="1"/>
  <c r="C123" i="5"/>
  <c r="C207" i="5" s="1"/>
  <c r="B123" i="5"/>
  <c r="H123" i="5" s="1"/>
  <c r="H207" i="5" s="1"/>
  <c r="D122" i="5"/>
  <c r="D206" i="5" s="1"/>
  <c r="C122" i="5"/>
  <c r="C206" i="5" s="1"/>
  <c r="B122" i="5"/>
  <c r="D121" i="5"/>
  <c r="D205" i="5" s="1"/>
  <c r="D114" i="5"/>
  <c r="D159" i="5" s="1"/>
  <c r="D243" i="5" s="1"/>
  <c r="I109" i="5"/>
  <c r="H109" i="5"/>
  <c r="G109" i="5"/>
  <c r="F109" i="5"/>
  <c r="E109" i="5"/>
  <c r="I108" i="5"/>
  <c r="H108" i="5"/>
  <c r="G108" i="5"/>
  <c r="F108" i="5"/>
  <c r="E108" i="5"/>
  <c r="D108" i="5"/>
  <c r="I100" i="5"/>
  <c r="H100" i="5"/>
  <c r="E100" i="5"/>
  <c r="I97" i="5"/>
  <c r="F9" i="7" s="1"/>
  <c r="H97" i="5"/>
  <c r="E9" i="7" s="1"/>
  <c r="G97" i="5"/>
  <c r="F97" i="5"/>
  <c r="C9" i="7" s="1"/>
  <c r="E94" i="5"/>
  <c r="F92" i="5"/>
  <c r="E87" i="5"/>
  <c r="B11" i="7" s="1"/>
  <c r="G85" i="5"/>
  <c r="F84" i="5"/>
  <c r="I80" i="5"/>
  <c r="H80" i="5"/>
  <c r="G80" i="5"/>
  <c r="G79" i="5"/>
  <c r="H79" i="5" s="1"/>
  <c r="I79" i="5" s="1"/>
  <c r="G77" i="5"/>
  <c r="H77" i="5" s="1"/>
  <c r="I77" i="5" s="1"/>
  <c r="I73" i="5"/>
  <c r="H73" i="5"/>
  <c r="G73" i="5"/>
  <c r="H72" i="5"/>
  <c r="I72" i="5" s="1"/>
  <c r="G72" i="5"/>
  <c r="H71" i="5"/>
  <c r="I71" i="5" s="1"/>
  <c r="G71" i="5"/>
  <c r="I70" i="5"/>
  <c r="H70" i="5"/>
  <c r="G70" i="5"/>
  <c r="G69" i="5"/>
  <c r="H69" i="5" s="1"/>
  <c r="I69" i="5" s="1"/>
  <c r="I68" i="5"/>
  <c r="H68" i="5"/>
  <c r="G68" i="5"/>
  <c r="G67" i="5"/>
  <c r="H67" i="5" s="1"/>
  <c r="I67" i="5" s="1"/>
  <c r="G66" i="5"/>
  <c r="I61" i="5"/>
  <c r="H61" i="5"/>
  <c r="G61" i="5"/>
  <c r="H60" i="5"/>
  <c r="I60" i="5" s="1"/>
  <c r="G60" i="5"/>
  <c r="H59" i="5"/>
  <c r="I59" i="5" s="1"/>
  <c r="I92" i="5" s="1"/>
  <c r="G59" i="5"/>
  <c r="I57" i="5"/>
  <c r="H57" i="5"/>
  <c r="G57" i="5"/>
  <c r="G54" i="5"/>
  <c r="H54" i="5" s="1"/>
  <c r="I54" i="5" s="1"/>
  <c r="I52" i="5"/>
  <c r="H52" i="5"/>
  <c r="G52" i="5"/>
  <c r="G51" i="5"/>
  <c r="H51" i="5" s="1"/>
  <c r="I51" i="5" s="1"/>
  <c r="G50" i="5"/>
  <c r="H50" i="5" s="1"/>
  <c r="I50" i="5" s="1"/>
  <c r="H49" i="5"/>
  <c r="I49" i="5" s="1"/>
  <c r="G46" i="5"/>
  <c r="H46" i="5" s="1"/>
  <c r="I46" i="5" s="1"/>
  <c r="H41" i="5"/>
  <c r="I41" i="5" s="1"/>
  <c r="G41" i="5"/>
  <c r="H38" i="5"/>
  <c r="G38" i="5"/>
  <c r="H31" i="5"/>
  <c r="I31" i="5" s="1"/>
  <c r="G31" i="5"/>
  <c r="E30" i="5"/>
  <c r="F30" i="5" s="1"/>
  <c r="F29" i="5"/>
  <c r="G29" i="5" s="1"/>
  <c r="H29" i="5" s="1"/>
  <c r="I29" i="5" s="1"/>
  <c r="E29" i="5"/>
  <c r="G28" i="5"/>
  <c r="H28" i="5" s="1"/>
  <c r="I28" i="5" s="1"/>
  <c r="H27" i="5"/>
  <c r="I27" i="5" s="1"/>
  <c r="G27" i="5"/>
  <c r="G26" i="5"/>
  <c r="H26" i="5" s="1"/>
  <c r="I26" i="5" s="1"/>
  <c r="H24" i="5"/>
  <c r="I24" i="5" s="1"/>
  <c r="F23" i="5"/>
  <c r="G23" i="5" s="1"/>
  <c r="H23" i="5" s="1"/>
  <c r="I23" i="5" s="1"/>
  <c r="G22" i="5"/>
  <c r="H22" i="5" s="1"/>
  <c r="I22" i="5" s="1"/>
  <c r="G21" i="5"/>
  <c r="H21" i="5" s="1"/>
  <c r="I21" i="5" s="1"/>
  <c r="G19" i="5"/>
  <c r="H19" i="5" s="1"/>
  <c r="I19" i="5" s="1"/>
  <c r="E19" i="5"/>
  <c r="H18" i="5"/>
  <c r="I18" i="5" s="1"/>
  <c r="G18" i="5"/>
  <c r="I16" i="5"/>
  <c r="H16" i="5"/>
  <c r="G16" i="5"/>
  <c r="F16" i="5"/>
  <c r="G15" i="5"/>
  <c r="F11" i="5"/>
  <c r="E11" i="5"/>
  <c r="H7" i="3"/>
  <c r="I88" i="2"/>
  <c r="I195" i="5" s="1"/>
  <c r="H88" i="2"/>
  <c r="H195" i="5" s="1"/>
  <c r="G88" i="2"/>
  <c r="G195" i="5" s="1"/>
  <c r="F88" i="2"/>
  <c r="F195" i="5" s="1"/>
  <c r="E88" i="2"/>
  <c r="E195" i="5" s="1"/>
  <c r="D88" i="2"/>
  <c r="D195" i="5" s="1"/>
  <c r="I86" i="2"/>
  <c r="I185" i="5" s="1"/>
  <c r="H86" i="2"/>
  <c r="H185" i="5" s="1"/>
  <c r="G86" i="2"/>
  <c r="G185" i="5" s="1"/>
  <c r="F86" i="2"/>
  <c r="F185" i="5" s="1"/>
  <c r="E86" i="2"/>
  <c r="E185" i="5" s="1"/>
  <c r="D86" i="2"/>
  <c r="D185" i="5" s="1"/>
  <c r="I84" i="2"/>
  <c r="H84" i="2"/>
  <c r="G84" i="2"/>
  <c r="F84" i="2"/>
  <c r="E84" i="2"/>
  <c r="D84" i="2"/>
  <c r="C79" i="2"/>
  <c r="I78" i="2"/>
  <c r="H78" i="2"/>
  <c r="G78" i="2"/>
  <c r="F78" i="2"/>
  <c r="E78" i="2"/>
  <c r="D78" i="2"/>
  <c r="D76" i="2"/>
  <c r="I75" i="2"/>
  <c r="H75" i="2"/>
  <c r="G75" i="2"/>
  <c r="F75" i="2"/>
  <c r="E75" i="2"/>
  <c r="D75" i="2"/>
  <c r="C75" i="2"/>
  <c r="I53" i="2"/>
  <c r="J54" i="2" s="1"/>
  <c r="H53" i="2"/>
  <c r="D53" i="2"/>
  <c r="D58" i="2" s="1"/>
  <c r="C53" i="2"/>
  <c r="C58" i="2" s="1"/>
  <c r="J52" i="2"/>
  <c r="I52" i="2"/>
  <c r="H52" i="2"/>
  <c r="G52" i="2"/>
  <c r="F52" i="2"/>
  <c r="E52" i="2"/>
  <c r="D52" i="2"/>
  <c r="D160" i="5" s="1"/>
  <c r="D244" i="5" s="1"/>
  <c r="J49" i="2"/>
  <c r="I49" i="2"/>
  <c r="G48" i="2"/>
  <c r="D8" i="7" s="1"/>
  <c r="F48" i="2"/>
  <c r="C8" i="7" s="1"/>
  <c r="E48" i="2"/>
  <c r="B8" i="7" s="1"/>
  <c r="D48" i="2"/>
  <c r="D49" i="2" s="1"/>
  <c r="D158" i="5" s="1"/>
  <c r="D242" i="5" s="1"/>
  <c r="C48" i="2"/>
  <c r="G46" i="2"/>
  <c r="F46" i="2"/>
  <c r="E46" i="2"/>
  <c r="D46" i="2"/>
  <c r="D156" i="5" s="1"/>
  <c r="D240" i="5" s="1"/>
  <c r="G44" i="2"/>
  <c r="F44" i="2"/>
  <c r="E44" i="2"/>
  <c r="D44" i="2"/>
  <c r="D154" i="5" s="1"/>
  <c r="D238" i="5" s="1"/>
  <c r="G42" i="2"/>
  <c r="F42" i="2"/>
  <c r="E42" i="2"/>
  <c r="D42" i="2"/>
  <c r="D152" i="5" s="1"/>
  <c r="D236" i="5" s="1"/>
  <c r="G40" i="2"/>
  <c r="F40" i="2"/>
  <c r="E40" i="2"/>
  <c r="D40" i="2"/>
  <c r="D150" i="5" s="1"/>
  <c r="D234" i="5" s="1"/>
  <c r="G38" i="2"/>
  <c r="F38" i="2"/>
  <c r="E38" i="2"/>
  <c r="D38" i="2"/>
  <c r="D148" i="5" s="1"/>
  <c r="D232" i="5" s="1"/>
  <c r="G36" i="2"/>
  <c r="F36" i="2"/>
  <c r="E36" i="2"/>
  <c r="D36" i="2"/>
  <c r="D146" i="5" s="1"/>
  <c r="D230" i="5" s="1"/>
  <c r="G34" i="2"/>
  <c r="F34" i="2"/>
  <c r="E34" i="2"/>
  <c r="D34" i="2"/>
  <c r="D144" i="5" s="1"/>
  <c r="D228" i="5" s="1"/>
  <c r="G32" i="2"/>
  <c r="F32" i="2"/>
  <c r="E32" i="2"/>
  <c r="D32" i="2"/>
  <c r="D142" i="5" s="1"/>
  <c r="D226" i="5" s="1"/>
  <c r="G30" i="2"/>
  <c r="F30" i="2"/>
  <c r="E30" i="2"/>
  <c r="D30" i="2"/>
  <c r="D140" i="5" s="1"/>
  <c r="D224" i="5" s="1"/>
  <c r="G28" i="2"/>
  <c r="F28" i="2"/>
  <c r="E28" i="2"/>
  <c r="D28" i="2"/>
  <c r="I23" i="2"/>
  <c r="J24" i="2" s="1"/>
  <c r="D23" i="2"/>
  <c r="C23" i="2"/>
  <c r="J22" i="2"/>
  <c r="I22" i="2"/>
  <c r="H22" i="2"/>
  <c r="G22" i="2"/>
  <c r="F22" i="2"/>
  <c r="E22" i="2"/>
  <c r="J19" i="2"/>
  <c r="I19" i="2"/>
  <c r="H19" i="2"/>
  <c r="I18" i="2"/>
  <c r="F2" i="7" s="1"/>
  <c r="H18" i="2"/>
  <c r="E2" i="7" s="1"/>
  <c r="G18" i="2"/>
  <c r="D2" i="7" s="1"/>
  <c r="F18" i="2"/>
  <c r="C2" i="7" s="1"/>
  <c r="E18" i="2"/>
  <c r="B2" i="7" s="1"/>
  <c r="D18" i="2"/>
  <c r="C18" i="2"/>
  <c r="J17" i="2"/>
  <c r="J16" i="2"/>
  <c r="J15" i="2"/>
  <c r="J14" i="2"/>
  <c r="J13" i="2"/>
  <c r="J12" i="2"/>
  <c r="J11" i="2"/>
  <c r="J10" i="2"/>
  <c r="J9" i="2"/>
  <c r="G231" i="5" l="1"/>
  <c r="E227" i="5"/>
  <c r="G223" i="5"/>
  <c r="C66" i="2"/>
  <c r="C69" i="2"/>
  <c r="I166" i="5"/>
  <c r="I250" i="5" s="1"/>
  <c r="F19" i="7"/>
  <c r="I94" i="5"/>
  <c r="D69" i="2"/>
  <c r="D77" i="2" s="1"/>
  <c r="D66" i="2"/>
  <c r="H122" i="5"/>
  <c r="D79" i="2"/>
  <c r="E76" i="2" s="1"/>
  <c r="G30" i="5"/>
  <c r="H30" i="5" s="1"/>
  <c r="I30" i="5" s="1"/>
  <c r="I124" i="5" s="1"/>
  <c r="F33" i="5"/>
  <c r="C4" i="7" s="1"/>
  <c r="G19" i="2"/>
  <c r="H49" i="2"/>
  <c r="G122" i="5"/>
  <c r="G123" i="5"/>
  <c r="G207" i="5" s="1"/>
  <c r="H125" i="5"/>
  <c r="H209" i="5" s="1"/>
  <c r="H126" i="5"/>
  <c r="H210" i="5" s="1"/>
  <c r="G127" i="5"/>
  <c r="G211" i="5" s="1"/>
  <c r="E221" i="5"/>
  <c r="E138" i="5"/>
  <c r="E222" i="5" s="1"/>
  <c r="F223" i="5"/>
  <c r="F140" i="5"/>
  <c r="F224" i="5" s="1"/>
  <c r="G148" i="5"/>
  <c r="G232" i="5" s="1"/>
  <c r="D54" i="2"/>
  <c r="D136" i="5" s="1"/>
  <c r="D220" i="5" s="1"/>
  <c r="F166" i="5"/>
  <c r="F250" i="5" s="1"/>
  <c r="C19" i="7"/>
  <c r="I123" i="5"/>
  <c r="I125" i="5"/>
  <c r="I126" i="5"/>
  <c r="H127" i="5"/>
  <c r="H211" i="5" s="1"/>
  <c r="F221" i="5"/>
  <c r="F138" i="5"/>
  <c r="F222" i="5" s="1"/>
  <c r="G140" i="5"/>
  <c r="G224" i="5" s="1"/>
  <c r="E229" i="5"/>
  <c r="E146" i="5"/>
  <c r="E230" i="5" s="1"/>
  <c r="G235" i="5"/>
  <c r="E33" i="5"/>
  <c r="G154" i="5"/>
  <c r="G238" i="5" s="1"/>
  <c r="G237" i="5"/>
  <c r="G92" i="5"/>
  <c r="E102" i="5"/>
  <c r="E110" i="5" s="1"/>
  <c r="E113" i="5" s="1"/>
  <c r="E114" i="5" s="1"/>
  <c r="E133" i="5"/>
  <c r="E217" i="5" s="1"/>
  <c r="F229" i="5"/>
  <c r="F146" i="5"/>
  <c r="F230" i="5" s="1"/>
  <c r="H15" i="5"/>
  <c r="H92" i="5"/>
  <c r="D9" i="7"/>
  <c r="G100" i="5"/>
  <c r="G124" i="5"/>
  <c r="G208" i="5" s="1"/>
  <c r="J127" i="5"/>
  <c r="J211" i="5" s="1"/>
  <c r="F133" i="5"/>
  <c r="F217" i="5" s="1"/>
  <c r="G227" i="5"/>
  <c r="C5" i="7"/>
  <c r="E23" i="2"/>
  <c r="E24" i="2" s="1"/>
  <c r="E53" i="2"/>
  <c r="H66" i="5"/>
  <c r="I66" i="5" s="1"/>
  <c r="I87" i="5" s="1"/>
  <c r="F156" i="5"/>
  <c r="F240" i="5" s="1"/>
  <c r="F239" i="5"/>
  <c r="F87" i="5"/>
  <c r="J128" i="5"/>
  <c r="J212" i="5" s="1"/>
  <c r="G133" i="5"/>
  <c r="G217" i="5" s="1"/>
  <c r="F23" i="2"/>
  <c r="F24" i="2" s="1"/>
  <c r="E49" i="2"/>
  <c r="F53" i="2"/>
  <c r="G146" i="5"/>
  <c r="G230" i="5" s="1"/>
  <c r="G229" i="5"/>
  <c r="G84" i="5"/>
  <c r="H84" i="5" s="1"/>
  <c r="I84" i="5" s="1"/>
  <c r="G87" i="5"/>
  <c r="C130" i="5"/>
  <c r="E144" i="5"/>
  <c r="E228" i="5" s="1"/>
  <c r="E19" i="2"/>
  <c r="G23" i="2"/>
  <c r="G24" i="2" s="1"/>
  <c r="F49" i="2"/>
  <c r="G53" i="2"/>
  <c r="I54" i="2"/>
  <c r="I58" i="2"/>
  <c r="F94" i="5"/>
  <c r="E122" i="5"/>
  <c r="E123" i="5"/>
  <c r="E207" i="5" s="1"/>
  <c r="E124" i="5"/>
  <c r="E208" i="5" s="1"/>
  <c r="E125" i="5"/>
  <c r="E209" i="5" s="1"/>
  <c r="F126" i="5"/>
  <c r="F210" i="5" s="1"/>
  <c r="E127" i="5"/>
  <c r="E211" i="5" s="1"/>
  <c r="D130" i="5"/>
  <c r="H217" i="5"/>
  <c r="D223" i="5"/>
  <c r="D157" i="5"/>
  <c r="E232" i="5"/>
  <c r="E235" i="5"/>
  <c r="E152" i="5"/>
  <c r="E236" i="5" s="1"/>
  <c r="F19" i="2"/>
  <c r="H23" i="2"/>
  <c r="G49" i="2"/>
  <c r="F100" i="5"/>
  <c r="F122" i="5"/>
  <c r="F123" i="5"/>
  <c r="F207" i="5" s="1"/>
  <c r="F124" i="5"/>
  <c r="F208" i="5" s="1"/>
  <c r="G125" i="5"/>
  <c r="G209" i="5" s="1"/>
  <c r="G126" i="5"/>
  <c r="G210" i="5" s="1"/>
  <c r="J133" i="5"/>
  <c r="J217" i="5" s="1"/>
  <c r="E140" i="5"/>
  <c r="E224" i="5" s="1"/>
  <c r="E223" i="5"/>
  <c r="J129" i="5"/>
  <c r="J213" i="5" s="1"/>
  <c r="F148" i="5"/>
  <c r="F232" i="5" s="1"/>
  <c r="E231" i="5"/>
  <c r="H246" i="5"/>
  <c r="C157" i="5"/>
  <c r="I246" i="5"/>
  <c r="B15" i="7"/>
  <c r="C15" i="7"/>
  <c r="H216" i="5"/>
  <c r="D15" i="7"/>
  <c r="E154" i="5"/>
  <c r="E238" i="5" s="1"/>
  <c r="I216" i="5"/>
  <c r="I133" i="5"/>
  <c r="I217" i="5" s="1"/>
  <c r="F154" i="5"/>
  <c r="F238" i="5" s="1"/>
  <c r="E156" i="5"/>
  <c r="E240" i="5" s="1"/>
  <c r="I157" i="5" l="1"/>
  <c r="F11" i="7"/>
  <c r="I208" i="5"/>
  <c r="J124" i="5"/>
  <c r="J208" i="5" s="1"/>
  <c r="B10" i="7"/>
  <c r="E159" i="5"/>
  <c r="H58" i="2"/>
  <c r="H24" i="2"/>
  <c r="G239" i="5"/>
  <c r="G156" i="5"/>
  <c r="G240" i="5" s="1"/>
  <c r="D214" i="5"/>
  <c r="D120" i="5"/>
  <c r="I66" i="2"/>
  <c r="I69" i="2"/>
  <c r="I77" i="2" s="1"/>
  <c r="C11" i="7"/>
  <c r="F102" i="5"/>
  <c r="F110" i="5" s="1"/>
  <c r="G111" i="5" s="1"/>
  <c r="E233" i="5"/>
  <c r="E150" i="5"/>
  <c r="E234" i="5" s="1"/>
  <c r="F235" i="5"/>
  <c r="F152" i="5"/>
  <c r="F236" i="5" s="1"/>
  <c r="I24" i="2"/>
  <c r="H206" i="5"/>
  <c r="H54" i="2"/>
  <c r="G58" i="2"/>
  <c r="G54" i="2"/>
  <c r="D19" i="7"/>
  <c r="G166" i="5"/>
  <c r="G250" i="5" s="1"/>
  <c r="G94" i="5"/>
  <c r="G233" i="5"/>
  <c r="G150" i="5"/>
  <c r="G234" i="5" s="1"/>
  <c r="I210" i="5"/>
  <c r="J126" i="5"/>
  <c r="J210" i="5" s="1"/>
  <c r="H124" i="5"/>
  <c r="H208" i="5" s="1"/>
  <c r="G33" i="5"/>
  <c r="D4" i="7" s="1"/>
  <c r="D5" i="7" s="1"/>
  <c r="E225" i="5"/>
  <c r="E142" i="5"/>
  <c r="E226" i="5" s="1"/>
  <c r="I209" i="5"/>
  <c r="J125" i="5"/>
  <c r="J209" i="5" s="1"/>
  <c r="C214" i="5"/>
  <c r="C120" i="5"/>
  <c r="F111" i="5"/>
  <c r="F112" i="5"/>
  <c r="F227" i="5"/>
  <c r="F144" i="5"/>
  <c r="F228" i="5" s="1"/>
  <c r="E58" i="2"/>
  <c r="E54" i="2"/>
  <c r="H33" i="5"/>
  <c r="E4" i="7" s="1"/>
  <c r="E5" i="7" s="1"/>
  <c r="I15" i="5"/>
  <c r="F225" i="5"/>
  <c r="F142" i="5"/>
  <c r="F226" i="5" s="1"/>
  <c r="I207" i="5"/>
  <c r="J123" i="5"/>
  <c r="J207" i="5" s="1"/>
  <c r="E157" i="5"/>
  <c r="G206" i="5"/>
  <c r="G130" i="5"/>
  <c r="F58" i="2"/>
  <c r="F54" i="2"/>
  <c r="F233" i="5"/>
  <c r="F150" i="5"/>
  <c r="F234" i="5" s="1"/>
  <c r="D11" i="7"/>
  <c r="G144" i="5"/>
  <c r="G228" i="5" s="1"/>
  <c r="E19" i="7"/>
  <c r="H166" i="5"/>
  <c r="H250" i="5" s="1"/>
  <c r="H94" i="5"/>
  <c r="D241" i="5"/>
  <c r="D135" i="5"/>
  <c r="D219" i="5" s="1"/>
  <c r="G225" i="5"/>
  <c r="G142" i="5"/>
  <c r="G226" i="5" s="1"/>
  <c r="B4" i="7"/>
  <c r="B5" i="7" s="1"/>
  <c r="H87" i="5"/>
  <c r="E11" i="7" s="1"/>
  <c r="F206" i="5"/>
  <c r="F130" i="5"/>
  <c r="C241" i="5"/>
  <c r="C135" i="5"/>
  <c r="C219" i="5" s="1"/>
  <c r="E206" i="5"/>
  <c r="E130" i="5"/>
  <c r="G138" i="5"/>
  <c r="G222" i="5" s="1"/>
  <c r="G157" i="5"/>
  <c r="G221" i="5"/>
  <c r="G152" i="5"/>
  <c r="G236" i="5" s="1"/>
  <c r="F157" i="5"/>
  <c r="G158" i="5" l="1"/>
  <c r="G242" i="5" s="1"/>
  <c r="G241" i="5"/>
  <c r="E214" i="5"/>
  <c r="E131" i="5"/>
  <c r="E215" i="5" s="1"/>
  <c r="E120" i="5"/>
  <c r="G102" i="5"/>
  <c r="G110" i="5" s="1"/>
  <c r="E158" i="5"/>
  <c r="E242" i="5" s="1"/>
  <c r="E241" i="5"/>
  <c r="E135" i="5"/>
  <c r="E66" i="2"/>
  <c r="E69" i="2"/>
  <c r="E77" i="2" s="1"/>
  <c r="E79" i="2" s="1"/>
  <c r="F76" i="2" s="1"/>
  <c r="C164" i="5"/>
  <c r="C204" i="5"/>
  <c r="G66" i="2"/>
  <c r="G69" i="2"/>
  <c r="G77" i="2" s="1"/>
  <c r="I33" i="5"/>
  <c r="I122" i="5"/>
  <c r="H157" i="5"/>
  <c r="H102" i="5"/>
  <c r="H110" i="5" s="1"/>
  <c r="B18" i="7"/>
  <c r="B20" i="7" s="1"/>
  <c r="H130" i="5"/>
  <c r="F66" i="2"/>
  <c r="F69" i="2"/>
  <c r="F77" i="2" s="1"/>
  <c r="E243" i="5"/>
  <c r="E160" i="5"/>
  <c r="E244" i="5" s="1"/>
  <c r="G214" i="5"/>
  <c r="G131" i="5"/>
  <c r="G215" i="5" s="1"/>
  <c r="G120" i="5"/>
  <c r="F214" i="5"/>
  <c r="F131" i="5"/>
  <c r="F215" i="5" s="1"/>
  <c r="F120" i="5"/>
  <c r="G112" i="5"/>
  <c r="F113" i="5"/>
  <c r="F114" i="5" s="1"/>
  <c r="D164" i="5"/>
  <c r="D204" i="5"/>
  <c r="F158" i="5"/>
  <c r="F242" i="5" s="1"/>
  <c r="F241" i="5"/>
  <c r="H66" i="2"/>
  <c r="H69" i="2"/>
  <c r="H77" i="2" s="1"/>
  <c r="J158" i="5"/>
  <c r="J242" i="5" s="1"/>
  <c r="I241" i="5"/>
  <c r="C10" i="7" l="1"/>
  <c r="C12" i="7" s="1"/>
  <c r="C18" i="7" s="1"/>
  <c r="C20" i="7" s="1"/>
  <c r="F159" i="5"/>
  <c r="F79" i="2"/>
  <c r="G76" i="2" s="1"/>
  <c r="G79" i="2" s="1"/>
  <c r="H76" i="2" s="1"/>
  <c r="H79" i="2" s="1"/>
  <c r="I76" i="2" s="1"/>
  <c r="I79" i="2" s="1"/>
  <c r="C168" i="5"/>
  <c r="C252" i="5" s="1"/>
  <c r="C248" i="5"/>
  <c r="C170" i="5"/>
  <c r="C254" i="5" s="1"/>
  <c r="H158" i="5"/>
  <c r="H242" i="5" s="1"/>
  <c r="H241" i="5"/>
  <c r="G204" i="5"/>
  <c r="G121" i="5"/>
  <c r="G205" i="5" s="1"/>
  <c r="I206" i="5"/>
  <c r="I130" i="5"/>
  <c r="J122" i="5"/>
  <c r="J206" i="5" s="1"/>
  <c r="E219" i="5"/>
  <c r="E136" i="5"/>
  <c r="E220" i="5" s="1"/>
  <c r="F204" i="5"/>
  <c r="F121" i="5"/>
  <c r="F205" i="5" s="1"/>
  <c r="F4" i="7"/>
  <c r="F5" i="7" s="1"/>
  <c r="I102" i="5"/>
  <c r="I110" i="5" s="1"/>
  <c r="G113" i="5"/>
  <c r="G114" i="5" s="1"/>
  <c r="H112" i="5"/>
  <c r="H111" i="5"/>
  <c r="E164" i="5"/>
  <c r="E204" i="5"/>
  <c r="E121" i="5"/>
  <c r="E205" i="5" s="1"/>
  <c r="D177" i="5"/>
  <c r="D168" i="5"/>
  <c r="D252" i="5" s="1"/>
  <c r="D248" i="5"/>
  <c r="D178" i="5"/>
  <c r="I111" i="5"/>
  <c r="I158" i="5"/>
  <c r="I242" i="5" s="1"/>
  <c r="H214" i="5"/>
  <c r="H120" i="5"/>
  <c r="H131" i="5"/>
  <c r="H215" i="5" s="1"/>
  <c r="H113" i="5" l="1"/>
  <c r="H114" i="5" s="1"/>
  <c r="E10" i="7" s="1"/>
  <c r="E168" i="5"/>
  <c r="E248" i="5"/>
  <c r="E178" i="5"/>
  <c r="I112" i="5"/>
  <c r="I113" i="5" s="1"/>
  <c r="I114" i="5" s="1"/>
  <c r="D10" i="7"/>
  <c r="G159" i="5"/>
  <c r="F160" i="5"/>
  <c r="F244" i="5" s="1"/>
  <c r="F243" i="5"/>
  <c r="F135" i="5"/>
  <c r="J131" i="5"/>
  <c r="J215" i="5" s="1"/>
  <c r="I214" i="5"/>
  <c r="I131" i="5"/>
  <c r="I215" i="5" s="1"/>
  <c r="I120" i="5"/>
  <c r="H204" i="5"/>
  <c r="H121" i="5"/>
  <c r="H205" i="5" s="1"/>
  <c r="D169" i="5"/>
  <c r="D179" i="5"/>
  <c r="E176" i="5" s="1"/>
  <c r="E177" i="5" s="1"/>
  <c r="H159" i="5" l="1"/>
  <c r="H160" i="5" s="1"/>
  <c r="H244" i="5" s="1"/>
  <c r="E12" i="7"/>
  <c r="E18" i="7" s="1"/>
  <c r="E20" i="7" s="1"/>
  <c r="D12" i="7"/>
  <c r="D18" i="7" s="1"/>
  <c r="D20" i="7" s="1"/>
  <c r="E169" i="5"/>
  <c r="B21" i="7" s="1"/>
  <c r="B22" i="7" s="1"/>
  <c r="F10" i="7"/>
  <c r="I159" i="5"/>
  <c r="F219" i="5"/>
  <c r="F136" i="5"/>
  <c r="F220" i="5" s="1"/>
  <c r="F164" i="5"/>
  <c r="D253" i="5"/>
  <c r="D170" i="5"/>
  <c r="D254" i="5" s="1"/>
  <c r="I204" i="5"/>
  <c r="J121" i="5"/>
  <c r="J205" i="5" s="1"/>
  <c r="I121" i="5"/>
  <c r="I205" i="5" s="1"/>
  <c r="E252" i="5"/>
  <c r="E197" i="5"/>
  <c r="E187" i="5"/>
  <c r="G160" i="5"/>
  <c r="G244" i="5" s="1"/>
  <c r="G243" i="5"/>
  <c r="G135" i="5"/>
  <c r="E179" i="5"/>
  <c r="F176" i="5" s="1"/>
  <c r="H135" i="5" l="1"/>
  <c r="H219" i="5" s="1"/>
  <c r="H243" i="5"/>
  <c r="F12" i="7"/>
  <c r="F18" i="7" s="1"/>
  <c r="F20" i="7" s="1"/>
  <c r="E170" i="5"/>
  <c r="E254" i="5" s="1"/>
  <c r="E253" i="5"/>
  <c r="F177" i="5"/>
  <c r="F168" i="5"/>
  <c r="F248" i="5"/>
  <c r="F178" i="5"/>
  <c r="G219" i="5"/>
  <c r="G136" i="5"/>
  <c r="G220" i="5" s="1"/>
  <c r="G164" i="5"/>
  <c r="J160" i="5"/>
  <c r="J244" i="5" s="1"/>
  <c r="I160" i="5"/>
  <c r="I244" i="5" s="1"/>
  <c r="I243" i="5"/>
  <c r="I135" i="5"/>
  <c r="F196" i="5"/>
  <c r="E198" i="5"/>
  <c r="E199" i="5" s="1"/>
  <c r="F186" i="5"/>
  <c r="E188" i="5"/>
  <c r="E189" i="5" s="1"/>
  <c r="H164" i="5" l="1"/>
  <c r="H248" i="5" s="1"/>
  <c r="H136" i="5"/>
  <c r="H220" i="5" s="1"/>
  <c r="F179" i="5"/>
  <c r="G176" i="5" s="1"/>
  <c r="G178" i="5" s="1"/>
  <c r="J136" i="5"/>
  <c r="J220" i="5" s="1"/>
  <c r="I219" i="5"/>
  <c r="I136" i="5"/>
  <c r="I220" i="5" s="1"/>
  <c r="I164" i="5"/>
  <c r="G168" i="5"/>
  <c r="G248" i="5"/>
  <c r="F252" i="5"/>
  <c r="F197" i="5"/>
  <c r="F198" i="5" s="1"/>
  <c r="F199" i="5" s="1"/>
  <c r="F187" i="5"/>
  <c r="F188" i="5" s="1"/>
  <c r="F189" i="5" s="1"/>
  <c r="F169" i="5"/>
  <c r="F170" i="5" s="1"/>
  <c r="H168" i="5" l="1"/>
  <c r="H252" i="5" s="1"/>
  <c r="G177" i="5"/>
  <c r="G169" i="5" s="1"/>
  <c r="G170" i="5" s="1"/>
  <c r="G254" i="5" s="1"/>
  <c r="I168" i="5"/>
  <c r="I248" i="5"/>
  <c r="G196" i="5"/>
  <c r="C21" i="7"/>
  <c r="C22" i="7" s="1"/>
  <c r="F253" i="5"/>
  <c r="F254" i="5"/>
  <c r="G252" i="5"/>
  <c r="G197" i="5"/>
  <c r="G187" i="5"/>
  <c r="H186" i="5" s="1"/>
  <c r="G186" i="5"/>
  <c r="H187" i="5" l="1"/>
  <c r="H188" i="5" s="1"/>
  <c r="H189" i="5" s="1"/>
  <c r="H197" i="5"/>
  <c r="I196" i="5" s="1"/>
  <c r="G179" i="5"/>
  <c r="H176" i="5" s="1"/>
  <c r="H178" i="5" s="1"/>
  <c r="D21" i="7"/>
  <c r="D22" i="7" s="1"/>
  <c r="G253" i="5"/>
  <c r="H196" i="5"/>
  <c r="G188" i="5"/>
  <c r="G189" i="5" s="1"/>
  <c r="G198" i="5"/>
  <c r="G199" i="5" s="1"/>
  <c r="I252" i="5"/>
  <c r="I197" i="5"/>
  <c r="I187" i="5"/>
  <c r="H198" i="5" l="1"/>
  <c r="H199" i="5" s="1"/>
  <c r="I198" i="5"/>
  <c r="I199" i="5" s="1"/>
  <c r="I186" i="5"/>
  <c r="I188" i="5" s="1"/>
  <c r="I189" i="5" s="1"/>
  <c r="H177" i="5"/>
  <c r="H179" i="5" s="1"/>
  <c r="I176" i="5" s="1"/>
  <c r="I178" i="5" s="1"/>
  <c r="H169" i="5" l="1"/>
  <c r="H253" i="5" s="1"/>
  <c r="I177" i="5"/>
  <c r="I169" i="5" s="1"/>
  <c r="F21" i="7" s="1"/>
  <c r="F22" i="7" s="1"/>
  <c r="H170" i="5" l="1"/>
  <c r="H254" i="5" s="1"/>
  <c r="E21" i="7"/>
  <c r="E22" i="7" s="1"/>
  <c r="I179" i="5"/>
  <c r="I170" i="5"/>
  <c r="I254" i="5" s="1"/>
  <c r="I253" i="5"/>
</calcChain>
</file>

<file path=xl/sharedStrings.xml><?xml version="1.0" encoding="utf-8"?>
<sst xmlns="http://schemas.openxmlformats.org/spreadsheetml/2006/main" count="529" uniqueCount="246">
  <si>
    <t>Cadre financier du rapport préélectoral</t>
  </si>
  <si>
    <t>Bienvenue dans le cadre financier détaillé du rapport préélectoral!</t>
  </si>
  <si>
    <t>Dans ce fichier vous trouverez :</t>
  </si>
  <si>
    <t>1.</t>
  </si>
  <si>
    <t>Cadre financier de 2021-2022 à 2026-2027</t>
  </si>
  <si>
    <t xml:space="preserve">Le cadre financier présente les revenus par sources et les dépenses prévus jusqu'en 2026-2027. </t>
  </si>
  <si>
    <t>4.</t>
  </si>
  <si>
    <t>Investissements du Plan québécois des infrastructures 2022-2032</t>
  </si>
  <si>
    <t>Ce tableau présente les investissements en infrastructures prévus dans le Plan québécois des infrastructures 2022-2032.</t>
  </si>
  <si>
    <t>3.</t>
  </si>
  <si>
    <t>Perspectives économiques au Québec de 2021 à 2026</t>
  </si>
  <si>
    <t>Ce tableau présente le sommaire des principaux indicateurs économiques au Québec jusqu'en 2026.</t>
  </si>
  <si>
    <t>Simulation budgétaire</t>
  </si>
  <si>
    <t>Cette feuille vous permet de faire une simulation dans laquelle vous proposez des engagements et indiquez l'impact, sommaire ou détaillé selon votre préférence, qu'ils auraient sur le cadre financier du gouvernement ainsi que sur la dette du Québec.</t>
  </si>
  <si>
    <t xml:space="preserve">Note : </t>
  </si>
  <si>
    <r>
      <rPr>
        <sz val="9"/>
        <color theme="1"/>
        <rFont val="Century Gothic"/>
      </rPr>
      <t xml:space="preserve">Le contenu du fichier a été verrouillé pour prévenir les erreurs de manipulation. Si vous êtes un utilisateur avancé, vous pouvez déverrouiller les feuilles avec le bouton </t>
    </r>
    <r>
      <rPr>
        <i/>
        <sz val="9"/>
        <color theme="1"/>
        <rFont val="Century Gothic"/>
      </rPr>
      <t>Ôter la protection de la feuille</t>
    </r>
    <r>
      <rPr>
        <sz val="9"/>
        <color theme="1"/>
        <rFont val="Century Gothic"/>
      </rPr>
      <t xml:space="preserve"> dans l'onglet </t>
    </r>
    <r>
      <rPr>
        <i/>
        <sz val="9"/>
        <color theme="1"/>
        <rFont val="Century Gothic"/>
      </rPr>
      <t>Révision</t>
    </r>
    <r>
      <rPr>
        <sz val="9"/>
        <color theme="1"/>
        <rFont val="Century Gothic"/>
      </rPr>
      <t xml:space="preserve"> du ruban.</t>
    </r>
  </si>
  <si>
    <t>Rapport préélectoral sur l’état des finances publiques du Québec – Août 2022</t>
  </si>
  <si>
    <t>(en millions de dollars)</t>
  </si>
  <si>
    <t>2020-2021</t>
  </si>
  <si>
    <t>2021-2022</t>
  </si>
  <si>
    <t>2022-2023</t>
  </si>
  <si>
    <t>2023-2024</t>
  </si>
  <si>
    <t>2024-2025</t>
  </si>
  <si>
    <t>2025-2026</t>
  </si>
  <si>
    <t>2026-2027</t>
  </si>
  <si>
    <r>
      <rPr>
        <b/>
        <sz val="8"/>
        <color rgb="FF244061"/>
        <rFont val="Century Gothic"/>
      </rPr>
      <t>2021-2027</t>
    </r>
    <r>
      <rPr>
        <b/>
        <vertAlign val="superscript"/>
        <sz val="8"/>
        <color rgb="FF244061"/>
        <rFont val="Century Gothic"/>
      </rPr>
      <t>(1)</t>
    </r>
  </si>
  <si>
    <t>Revenus</t>
  </si>
  <si>
    <t>Impôt des particuliers</t>
  </si>
  <si>
    <t>Cotisations pour les services de santé</t>
  </si>
  <si>
    <t>Impôts des sociétés</t>
  </si>
  <si>
    <t>Impôt foncier scolaire</t>
  </si>
  <si>
    <t>Taxes à la consommation</t>
  </si>
  <si>
    <t>Droits et permis</t>
  </si>
  <si>
    <t>Revenus divers</t>
  </si>
  <si>
    <t>Entreprises du gouvernement</t>
  </si>
  <si>
    <t>Revenus autonomes</t>
  </si>
  <si>
    <t xml:space="preserve">  Variation en %</t>
  </si>
  <si>
    <t>Transferts fédéraux</t>
  </si>
  <si>
    <t>Total des revenus</t>
  </si>
  <si>
    <t>Dépenses</t>
  </si>
  <si>
    <t>Santé et services sociaux</t>
  </si>
  <si>
    <t>Éducation</t>
  </si>
  <si>
    <t>Enseignement supérieur</t>
  </si>
  <si>
    <t>Famille</t>
  </si>
  <si>
    <t>Transports</t>
  </si>
  <si>
    <t>Travail, Emploi et Solidarité sociale</t>
  </si>
  <si>
    <t>Affaires municipales et Habitation</t>
  </si>
  <si>
    <t>Économie et Innovation</t>
  </si>
  <si>
    <t>Environnement et Lutte contre les changements climatiques</t>
  </si>
  <si>
    <r>
      <rPr>
        <sz val="8"/>
        <color rgb="FF660033"/>
        <rFont val="Century Gothic"/>
      </rPr>
      <t>Autres portefeuilles</t>
    </r>
    <r>
      <rPr>
        <vertAlign val="superscript"/>
        <sz val="8"/>
        <color rgb="FF660033"/>
        <rFont val="Century Gothic"/>
      </rPr>
      <t>(2)</t>
    </r>
  </si>
  <si>
    <t>Dépenses de portefeuilles</t>
  </si>
  <si>
    <t>Service de la dette</t>
  </si>
  <si>
    <t>Total des dépenses</t>
  </si>
  <si>
    <t>Dépenses liées aux mesures de soutien et de relance COVID-19</t>
  </si>
  <si>
    <t>Provision pour risques économiques et autres mesures de soutien et de relance</t>
  </si>
  <si>
    <t>SURPLUS (DÉFICIT)</t>
  </si>
  <si>
    <t>LOI SUR L'ÉQUILIBRE BUDGÉTAIRE</t>
  </si>
  <si>
    <t>Versements des revenus consacrés au Fonds des générations</t>
  </si>
  <si>
    <t>Modifications comptables</t>
  </si>
  <si>
    <t>SOLDE BUDGÉTAIRE AVANT UTILISATION DE LA RÉSERVE DE STABILISATION</t>
  </si>
  <si>
    <t>Utilisation de la réserve de stabilisation</t>
  </si>
  <si>
    <r>
      <rPr>
        <b/>
        <sz val="10"/>
        <color rgb="FF0F243E"/>
        <rFont val="Century Gothic"/>
      </rPr>
      <t>SOLDE BUDGÉTAIRE</t>
    </r>
    <r>
      <rPr>
        <b/>
        <vertAlign val="superscript"/>
        <sz val="10"/>
        <color rgb="FF0F243E"/>
        <rFont val="Century Gothic"/>
      </rPr>
      <t>(3)</t>
    </r>
  </si>
  <si>
    <t>Note : Les données pour 2021-2022 sont des estimations préliminaires et celles pour les années suivantes sont des prévisions.
Les chiffres ayant été arrondis, leur somme peut ne pas correspondre au total indiqué.
(1) Il s'agit du taux de croissance annuel moyen, qui correspond à la moyenne géométrique sur cinq ans, soit de 2021-2022 à 2026-2027.
(2) Les autres portefeuilles incluent les éliminations interportefeuilles, qui résultent de l’élimination des opérations réciproques entre les entités de différents portefeuilles.
(3) Solde budgétaire au sens de la Loi sur l'équilibre budgétaire, après utilisation de la réserve de stabilisation.</t>
  </si>
  <si>
    <t>Réserve de stabilisation</t>
  </si>
  <si>
    <t>Solde au début</t>
  </si>
  <si>
    <t>Affectation</t>
  </si>
  <si>
    <t>Utilisation</t>
  </si>
  <si>
    <t>SOLDE À LA FIN</t>
  </si>
  <si>
    <t>Dette du gouvernement du Québec au 31 mars</t>
  </si>
  <si>
    <t>Dette brute</t>
  </si>
  <si>
    <t xml:space="preserve">  En % du PIB</t>
  </si>
  <si>
    <t>Dette représentant les déficits cumulés</t>
  </si>
  <si>
    <t>Investissements du Plan québécois des infrastructures (PQI) 2022-2032</t>
  </si>
  <si>
    <t>Moyenne 
27-28 à 31-32</t>
  </si>
  <si>
    <t>Total PQI 2022-2032</t>
  </si>
  <si>
    <t>Investissements</t>
  </si>
  <si>
    <t xml:space="preserve">Note : Les chiffres ayant été arrondis, leur somme peut ne pas correspondre au total indiqué.
Le Plan québécois des infrastructures 2022-2032 est accessible à : </t>
  </si>
  <si>
    <t>https://www.tresor.gouv.qc.ca/fileadmin/PDF/budget_depenses/22-23/6-Plan_quebecois_infrastructures.pdf</t>
  </si>
  <si>
    <t>Rapport préélectoral sur l’état des finances 
publiques du Québec – Août 2022</t>
  </si>
  <si>
    <t>(variation en pourcentage, sauf indication contraire)</t>
  </si>
  <si>
    <t>Production</t>
  </si>
  <si>
    <t>Produit intérieur brut réel</t>
  </si>
  <si>
    <t>Produit intérieur brut nominal</t>
  </si>
  <si>
    <t>Produit intérieur brut nominal (en G$)</t>
  </si>
  <si>
    <t>Composantes du PIB (en termes réels)</t>
  </si>
  <si>
    <t>Demande intérieure finale</t>
  </si>
  <si>
    <t>–  Consommation des ménages</t>
  </si>
  <si>
    <t>–  Dépenses et investissements des gouvernements</t>
  </si>
  <si>
    <t>–  Investissements résidentiels</t>
  </si>
  <si>
    <t>–  Investissements non résidentiels des entreprises</t>
  </si>
  <si>
    <t>Exportations</t>
  </si>
  <si>
    <t>Importations</t>
  </si>
  <si>
    <t>Marché du travail</t>
  </si>
  <si>
    <t>Population (en milliers)</t>
  </si>
  <si>
    <t>Population de 15 ans et plus (en milliers)</t>
  </si>
  <si>
    <t>Emplois (en milliers)</t>
  </si>
  <si>
    <t>Création d’emplois (en milliers)</t>
  </si>
  <si>
    <t>Taux de chômage</t>
  </si>
  <si>
    <t>Autres indicateurs économiques (en termes nominaux)</t>
  </si>
  <si>
    <t>Consommation des ménages</t>
  </si>
  <si>
    <t>–  Excluant les produits alimentaires et les logements</t>
  </si>
  <si>
    <t>Mises en chantier (en milliers d’unités)</t>
  </si>
  <si>
    <t>Investissements résidentiels</t>
  </si>
  <si>
    <t>Investissements non résidentiels des entreprises</t>
  </si>
  <si>
    <t>Salaires et traitements</t>
  </si>
  <si>
    <t>Revenu des ménages</t>
  </si>
  <si>
    <t>Excédent d’exploitation net des sociétés</t>
  </si>
  <si>
    <t>Indice des prix à la consommation</t>
  </si>
  <si>
    <t>–  Excluant les aliments et l'énergie</t>
  </si>
  <si>
    <t>PIB par habitant (en $)</t>
  </si>
  <si>
    <t>Revenu disponible par habitant (en $)</t>
  </si>
  <si>
    <t>Sources : Institut de la statistique du Québec, Statistique Canada, Société canadienne d’hypothèques et de logement et ministère des Finances du Québec.</t>
  </si>
  <si>
    <t>PREMIÈRE ÉTAPE – FAITES VOS CHOIX POUR LE CADRE FINANCIER</t>
  </si>
  <si>
    <t>TROISIÈME ÉTAPE – SÉLECTIONNEZ LE POSTE BUDGÉTAIRE CONCERNÉ</t>
  </si>
  <si>
    <r>
      <rPr>
        <b/>
        <sz val="9"/>
        <color rgb="FF1A6372"/>
        <rFont val="Century Gothic"/>
      </rPr>
      <t>Poste budgétaire impacté</t>
    </r>
    <r>
      <rPr>
        <b/>
        <vertAlign val="superscript"/>
        <sz val="9"/>
        <color rgb="FF1A6372"/>
        <rFont val="Century Gothic"/>
      </rPr>
      <t>(11)</t>
    </r>
  </si>
  <si>
    <r>
      <rPr>
        <b/>
        <sz val="9"/>
        <color rgb="FF1A6372"/>
        <rFont val="Century Gothic"/>
      </rPr>
      <t>Explications de l'engagement</t>
    </r>
    <r>
      <rPr>
        <b/>
        <vertAlign val="superscript"/>
        <sz val="9"/>
        <color rgb="FF1A6372"/>
        <rFont val="Century Gothic"/>
      </rPr>
      <t>(12)</t>
    </r>
  </si>
  <si>
    <r>
      <rPr>
        <b/>
        <sz val="9"/>
        <color rgb="FF3A4323"/>
        <rFont val="Century Gothic"/>
      </rPr>
      <t>Engagements affectant les revenus</t>
    </r>
    <r>
      <rPr>
        <b/>
        <vertAlign val="superscript"/>
        <sz val="9"/>
        <color rgb="FF3A4323"/>
        <rFont val="Century Gothic"/>
      </rPr>
      <t>(1)</t>
    </r>
  </si>
  <si>
    <t>Assurer la pérennité des services publics</t>
  </si>
  <si>
    <t>Revenu non catégorisé</t>
  </si>
  <si>
    <t>Aucune baisse de taxe ou d'impôt généralisée</t>
  </si>
  <si>
    <t>Soutien au pouvoir d'achat</t>
  </si>
  <si>
    <t>Doubler le crédît d'impôt de solidarité pendant six mois</t>
  </si>
  <si>
    <t>Hausse des taxes à la consommation liée au versement de l'allocation pour pouvoir d'achat</t>
  </si>
  <si>
    <t>Vivre et vieillir dans la dignité, à la maison</t>
  </si>
  <si>
    <t>Doublement du crédit d'impôt aux proches aidants</t>
  </si>
  <si>
    <t>Pour une réelle égalité des chances</t>
  </si>
  <si>
    <t>Crédit d'impôt pour constructions de petites maisons</t>
  </si>
  <si>
    <t>Hausse du nombre de parents sur le marché du travail</t>
  </si>
  <si>
    <t>Une fiscalité plus juste</t>
  </si>
  <si>
    <t>Exemption d'impôt sur les dernier 35 000$ travaillé pour les 60 ans et plus</t>
  </si>
  <si>
    <t>Abolition du crédit d'impôt pour travailleurs expérimentés</t>
  </si>
  <si>
    <t>Effet de la hausse du nombre de travailleurs d'expérience</t>
  </si>
  <si>
    <t>Allègement fiscale TPE</t>
  </si>
  <si>
    <t>Redevances sur l'eau</t>
  </si>
  <si>
    <t>Fin de l'incorporation des médecins</t>
  </si>
  <si>
    <t>Déclaration de revenu unique</t>
  </si>
  <si>
    <t>Taxe sur les surprofits</t>
  </si>
  <si>
    <t>Lutte sur les profits détournés</t>
  </si>
  <si>
    <t>Révision de l'impôt minimum de remplacement</t>
  </si>
  <si>
    <t>Perception de la TVQ sur les fournisseurs hors-Québec</t>
  </si>
  <si>
    <t>Doubler la taxe compensatoire sur les institutions financières</t>
  </si>
  <si>
    <t>Taxer les GAFAM à 3 % de leur chiffre d'affaire québécois</t>
  </si>
  <si>
    <t>Taxes sur la spéculation immobilière</t>
  </si>
  <si>
    <t>Sous-total</t>
  </si>
  <si>
    <r>
      <rPr>
        <b/>
        <sz val="9"/>
        <color rgb="FF1A6372"/>
        <rFont val="Century Gothic"/>
      </rPr>
      <t>Poste budgétaire impacté</t>
    </r>
    <r>
      <rPr>
        <b/>
        <vertAlign val="superscript"/>
        <sz val="9"/>
        <color rgb="FF1A6372"/>
        <rFont val="Century Gothic"/>
      </rPr>
      <t>(11)</t>
    </r>
  </si>
  <si>
    <r>
      <rPr>
        <b/>
        <sz val="9"/>
        <color rgb="FF1A6372"/>
        <rFont val="Century Gothic"/>
      </rPr>
      <t>Explications de l'engagement</t>
    </r>
    <r>
      <rPr>
        <b/>
        <vertAlign val="superscript"/>
        <sz val="9"/>
        <color rgb="FF1A6372"/>
        <rFont val="Century Gothic"/>
      </rPr>
      <t>(12)</t>
    </r>
  </si>
  <si>
    <r>
      <rPr>
        <b/>
        <sz val="9"/>
        <color rgb="FF660033"/>
        <rFont val="Century Gothic"/>
      </rPr>
      <t>Engagements affectant les dépenses</t>
    </r>
    <r>
      <rPr>
        <b/>
        <vertAlign val="superscript"/>
        <sz val="9"/>
        <color rgb="FF660033"/>
        <rFont val="Century Gothic"/>
      </rPr>
      <t>(2)</t>
    </r>
  </si>
  <si>
    <t>Indépendance</t>
  </si>
  <si>
    <t>Dépense non catégorisée</t>
  </si>
  <si>
    <t>Préparation de l'indépendance</t>
  </si>
  <si>
    <t>Autres portefeuilles</t>
  </si>
  <si>
    <t>Allocation de pouvoir d'achat</t>
  </si>
  <si>
    <t>Bureau de la concurrence</t>
  </si>
  <si>
    <t>Prendre le virage des soins à domicile</t>
  </si>
  <si>
    <t>Protecteur des aînés</t>
  </si>
  <si>
    <t>Des soins accessibles, à tous</t>
  </si>
  <si>
    <t>Abolition du recours aux agences privées de placement</t>
  </si>
  <si>
    <t>Économies reliées aux meilleures conditions de travail dans le réseau de la santé (moins d'absence, congés et TSO)</t>
  </si>
  <si>
    <t>Révision de la rémunération des médecins</t>
  </si>
  <si>
    <t>Atteinte des objectifs de l'Institut de la pertinence des actes médicaux</t>
  </si>
  <si>
    <t>Faire des CLSC de vraies cliniques de proximité</t>
  </si>
  <si>
    <t>Assurer un meilleur soutien aux organismes communautaires</t>
  </si>
  <si>
    <t>Soutenir l'adaptation des domiciles et les maisons intergénérationnelles</t>
  </si>
  <si>
    <t>Mettre en place un service de psychothérapie universelle</t>
  </si>
  <si>
    <t>Bonification de la politique de déplacement des usagers</t>
  </si>
  <si>
    <t>Améliorer la santé auditive</t>
  </si>
  <si>
    <t>Améliorer la couverture des soins dentaires</t>
  </si>
  <si>
    <t>Remboursement des pompes à insuline pour adultes</t>
  </si>
  <si>
    <t>Une transition économique verte et juste</t>
  </si>
  <si>
    <t>Plan Climat</t>
  </si>
  <si>
    <t>Passe Climat</t>
  </si>
  <si>
    <t>Transition juste</t>
  </si>
  <si>
    <t>Création des 15 000 places supplémentaires manquantes en CPE</t>
  </si>
  <si>
    <t>Conversion des places des garderies privées en CPE</t>
  </si>
  <si>
    <t>Moratoire sur la maternelle 4 ans</t>
  </si>
  <si>
    <t>Services aux élèves</t>
  </si>
  <si>
    <t>Soutien à la concertation au préscolaire et primaire</t>
  </si>
  <si>
    <t>Fin du financement des écoles religieuses</t>
  </si>
  <si>
    <t>Gratuité effective à l'université pour les enfants dont les parents ont un revenu inférieur au salaire médian</t>
  </si>
  <si>
    <t>Construction de logements sociaux, dont du logement étudiant</t>
  </si>
  <si>
    <t>Hausse du budget pour l'intégration des immigrants</t>
  </si>
  <si>
    <t>Assurer un meilleur soutien aux RI et aux RTF</t>
  </si>
  <si>
    <t>Création du ministère de la Condition féminine</t>
  </si>
  <si>
    <t>Lutte aux armes</t>
  </si>
  <si>
    <t>Pour un développement régional</t>
  </si>
  <si>
    <t>Création d'un ministère du Développement régional</t>
  </si>
  <si>
    <t>Fonds pour les régions</t>
  </si>
  <si>
    <t>Pour une culture accessible</t>
  </si>
  <si>
    <t>Passeport culturel pour les élèves du secondaire et du collégial, ainsi que les nouveaux Québécois</t>
  </si>
  <si>
    <t>Doubler le budget de Télé-Québec</t>
  </si>
  <si>
    <t>Création du CRTQ</t>
  </si>
  <si>
    <t>Bureau de promotion de la culture</t>
  </si>
  <si>
    <t>Doubler le budget du Vérificateur général</t>
  </si>
  <si>
    <t>Annonce à venir</t>
  </si>
  <si>
    <r>
      <rPr>
        <b/>
        <sz val="9"/>
        <color rgb="FF1A6372"/>
        <rFont val="Century Gothic"/>
      </rPr>
      <t>Poste budgétaire impacté</t>
    </r>
    <r>
      <rPr>
        <b/>
        <vertAlign val="superscript"/>
        <sz val="9"/>
        <color rgb="FF1A6372"/>
        <rFont val="Century Gothic"/>
      </rPr>
      <t>(11)</t>
    </r>
  </si>
  <si>
    <r>
      <rPr>
        <b/>
        <sz val="9"/>
        <color rgb="FF1A6372"/>
        <rFont val="Century Gothic"/>
      </rPr>
      <t>Explications de l'engagement</t>
    </r>
    <r>
      <rPr>
        <b/>
        <vertAlign val="superscript"/>
        <sz val="9"/>
        <color rgb="FF1A6372"/>
        <rFont val="Century Gothic"/>
      </rPr>
      <t>(12)</t>
    </r>
  </si>
  <si>
    <t>Autres éléments du cadre financier</t>
  </si>
  <si>
    <r>
      <rPr>
        <sz val="8"/>
        <color rgb="FF17365D"/>
        <rFont val="Century Gothic"/>
      </rPr>
      <t>–   Ajustement à la provision pour risques 
      économiques et autres mesures de soutien
      et de relance</t>
    </r>
    <r>
      <rPr>
        <vertAlign val="superscript"/>
        <sz val="8"/>
        <color rgb="FF17365D"/>
        <rFont val="Century Gothic"/>
      </rPr>
      <t>(3)</t>
    </r>
  </si>
  <si>
    <r>
      <rPr>
        <sz val="8"/>
        <color rgb="FF17365D"/>
        <rFont val="Century Gothic"/>
      </rPr>
      <t>–   Versement des revenus consacrés
     au Fonds des générations</t>
    </r>
    <r>
      <rPr>
        <vertAlign val="superscript"/>
        <sz val="8"/>
        <color rgb="FF17365D"/>
        <rFont val="Century Gothic"/>
      </rPr>
      <t>(4),(5),(6)</t>
    </r>
  </si>
  <si>
    <r>
      <rPr>
        <b/>
        <sz val="9"/>
        <color rgb="FF17365D"/>
        <rFont val="Century Gothic"/>
      </rPr>
      <t>Engagements affectant la dette brute</t>
    </r>
    <r>
      <rPr>
        <b/>
        <vertAlign val="superscript"/>
        <sz val="9"/>
        <color rgb="FF17365D"/>
        <rFont val="Century Gothic"/>
      </rPr>
      <t>(6),(7),(8)</t>
    </r>
  </si>
  <si>
    <r>
      <rPr>
        <sz val="8"/>
        <color rgb="FF17365D"/>
        <rFont val="Century Gothic"/>
      </rPr>
      <t>–   Ajustement du Plan québécois des 
     infrastructures</t>
    </r>
    <r>
      <rPr>
        <b/>
        <vertAlign val="superscript"/>
        <sz val="8"/>
        <color rgb="FF17365D"/>
        <rFont val="Century Gothic"/>
      </rPr>
      <t>(9)</t>
    </r>
  </si>
  <si>
    <t>Investissements en immobilisations</t>
  </si>
  <si>
    <r>
      <rPr>
        <sz val="8"/>
        <color rgb="FF17365D"/>
        <rFont val="Century Gothic"/>
      </rPr>
      <t>–   Autres éléments affectant la dette</t>
    </r>
    <r>
      <rPr>
        <vertAlign val="superscript"/>
        <sz val="8"/>
        <color rgb="FF17365D"/>
        <rFont val="Century Gothic"/>
      </rPr>
      <t>(10)</t>
    </r>
  </si>
  <si>
    <t>Autres éléments affectant la dette</t>
  </si>
  <si>
    <t>TOTAL DES ENGAGEMENTS</t>
  </si>
  <si>
    <t>DEUXIÈME ÉTAPE – FAITES VOTRE CHOIX QUANT AU TAUX D'INTÉRÊT PAYÉ SUR LE SERVICE DE LA DETTE</t>
  </si>
  <si>
    <t>Service de la dette selon le rapport préélectoral</t>
  </si>
  <si>
    <t>Mesure(s) au service de la dette</t>
  </si>
  <si>
    <t>Impact des mesures qui ne sont pas au service de la dette</t>
  </si>
  <si>
    <t>Impact cumulatif des engagements</t>
  </si>
  <si>
    <t>Impact cumulatif du service de la dette</t>
  </si>
  <si>
    <t>Impact total de vos choix sur le service de la dette</t>
  </si>
  <si>
    <t>Service de la dette simulé</t>
  </si>
  <si>
    <r>
      <rPr>
        <sz val="8"/>
        <color rgb="FF17365D"/>
        <rFont val="Century Gothic"/>
      </rPr>
      <t xml:space="preserve">Note : Dans ce tableau, vous pouvez nommer et chiffrer vos engagements.
</t>
    </r>
    <r>
      <rPr>
        <sz val="8"/>
        <color rgb="FF3A4323"/>
        <rFont val="Century Gothic"/>
      </rPr>
      <t xml:space="preserve">(1) Une hausse des revenus est indiquée par un montant positif et une diminution, par un montant négatif. </t>
    </r>
    <r>
      <rPr>
        <sz val="8"/>
        <color rgb="FF17365D"/>
        <rFont val="Century Gothic"/>
      </rPr>
      <t xml:space="preserve">
</t>
    </r>
    <r>
      <rPr>
        <sz val="8"/>
        <color rgb="FF660033"/>
        <rFont val="Century Gothic"/>
      </rPr>
      <t>(2) Une hausse des dépenses est indiquée par un montant négatif et une diminution, par un montant positif.</t>
    </r>
    <r>
      <rPr>
        <sz val="8"/>
        <color rgb="FF17365D"/>
        <rFont val="Century Gothic"/>
      </rPr>
      <t xml:space="preserve">
(3) Une hausse de la provision est indiquée par un montant négatif et une diminution, par un montant positif.
(4) Les versements des revenus consacrés au Fonds des générations sont considérés dans le calcul de la dette brute et de la dette représentant les      
     déficits cumulés. 
(5) Cet ajustement permet de hausser ou de diminuer les revenus qui sont consacrés au Fonds des générations :
      a) Pour consacrer un revenu déjà existant au cadre financier (ex: toute la taxe spécifique sur les boissons alcooliques), il faut inscrire un
           montant négatif, ce qui aura pour effet de verser ces revenus au Fonds des générations.
      b) Pour consacrer au Fonds des générations un nouveau revenu qui n'est pas déjà prévu (ex : nouvelle taxe spécifique), l’utilisateur doit   
           d’abord ajouter cette hausse en positif à la section « engagements affectant les revenus » et ensuite la verser au Fonds des générations en    
           ajoutant cette même hausse en négatif à la ligne «Versement des revenus consacrés au Fonds des générations».
(6) À l'exception des effets sur le service de la dette, les effets induits, comme l'impact d'une variation des revenus du Fonds des générations sur les      
      revenus de placement dudit fonds, ne sont pas considérés dans la présente simulation. Si l'utilisateur désire en tenir compte, il doit les ajouter.
(7) Les engagements qui haussent la dette brute, tel une hausse des investissements du PQI et des placements, prêts et avances, sont indiqués par un 
      montant négatif et ceux qui diminuent la dette brute, par un montant positif.
(8) Aux fins de cette simulation, à l'exception des effets sur le service de la dette, une variation des engagements affectant la dette brute influe 
      uniquement sur le niveau de la dette brute et n’affecte pas le solde du cadre financier.
(9) Infrastructures gouvernementales ou subventionnées par le gouvernement.
(10) Les autres éléments affectant la dette comprennent notamment les placements, prêts et avances.</t>
    </r>
  </si>
  <si>
    <r>
      <rPr>
        <sz val="8"/>
        <color rgb="FF1A6372"/>
        <rFont val="Century Gothic"/>
      </rPr>
      <t xml:space="preserve">(11) </t>
    </r>
    <r>
      <rPr>
        <b/>
        <sz val="8"/>
        <color rgb="FF1A6372"/>
        <rFont val="Century Gothic"/>
      </rPr>
      <t>Pour afficher les impacts dans le cadre simulé</t>
    </r>
    <r>
      <rPr>
        <sz val="8"/>
        <color rgb="FF1A6372"/>
        <rFont val="Century Gothic"/>
      </rPr>
      <t xml:space="preserve">, choisissez dans les listes déroulantes le poste budgétaire concerné par chacun de vos engagements. 
(12) Utilisez cet espace pour en dire davantage sur la forme concrète que prendra votre engagement. Voici quelques </t>
    </r>
    <r>
      <rPr>
        <b/>
        <sz val="8"/>
        <color rgb="FF1A6372"/>
        <rFont val="Century Gothic"/>
      </rPr>
      <t>pistes de réflexion :</t>
    </r>
    <r>
      <rPr>
        <sz val="8"/>
        <color rgb="FF3A4323"/>
        <rFont val="Century Gothic"/>
      </rPr>
      <t xml:space="preserve">
a) Pour une modification des revenus :
     </t>
    </r>
    <r>
      <rPr>
        <sz val="8"/>
        <color rgb="FF3A4323"/>
        <rFont val="Calibri"/>
      </rPr>
      <t>–</t>
    </r>
    <r>
      <rPr>
        <sz val="8"/>
        <color rgb="FF3A4323"/>
        <rFont val="Century Gothic"/>
      </rPr>
      <t xml:space="preserve">  Qui dans la société en assumera le coût ou en bénéficiera? 
         (critères d'admissibilité par exemple) 
     –  Quels paramètres permettront à chaque citoyen ou entreprise d'évaluer les impacts sur eux?
         (taux d'imposition ou tarifs par exemple)</t>
    </r>
    <r>
      <rPr>
        <sz val="8"/>
        <color rgb="FF17365D"/>
        <rFont val="Century Gothic"/>
      </rPr>
      <t xml:space="preserve">
</t>
    </r>
    <r>
      <rPr>
        <sz val="8"/>
        <color rgb="FF660033"/>
        <rFont val="Century Gothic"/>
      </rPr>
      <t>b)</t>
    </r>
    <r>
      <rPr>
        <sz val="8"/>
        <color rgb="FF17365D"/>
        <rFont val="Century Gothic"/>
      </rPr>
      <t xml:space="preserve"> </t>
    </r>
    <r>
      <rPr>
        <sz val="8"/>
        <color rgb="FF660033"/>
        <rFont val="Century Gothic"/>
      </rPr>
      <t>Pour une modification des dépenses : 
     –  Prévoyez-vous bonifier des services, dégager des gains d'efficacité ou réduire les services?
     –  Comment allez-vous concrétiser cela?</t>
    </r>
  </si>
  <si>
    <r>
      <rPr>
        <b/>
        <sz val="11"/>
        <color rgb="FF17365D"/>
        <rFont val="Century Gothic"/>
      </rPr>
      <t xml:space="preserve">Cadre financier simulé </t>
    </r>
    <r>
      <rPr>
        <b/>
        <sz val="11"/>
        <color rgb="FF17365D"/>
        <rFont val="Calibri"/>
      </rPr>
      <t>–</t>
    </r>
    <r>
      <rPr>
        <b/>
        <sz val="11"/>
        <color rgb="FF17365D"/>
        <rFont val="Century Gothic"/>
      </rPr>
      <t xml:space="preserve"> 2021-2022 à 2026-2027</t>
    </r>
    <r>
      <rPr>
        <b/>
        <vertAlign val="superscript"/>
        <sz val="11"/>
        <color rgb="FF17365D"/>
        <rFont val="Century Gothic"/>
      </rPr>
      <t>(1)</t>
    </r>
  </si>
  <si>
    <r>
      <rPr>
        <b/>
        <sz val="8"/>
        <color rgb="FF17365D"/>
        <rFont val="Century Gothic"/>
      </rPr>
      <t>2021-2027</t>
    </r>
    <r>
      <rPr>
        <b/>
        <vertAlign val="superscript"/>
        <sz val="8"/>
        <color rgb="FF244061"/>
        <rFont val="Century Gothic"/>
      </rPr>
      <t>(1)</t>
    </r>
  </si>
  <si>
    <t>REVENUS</t>
  </si>
  <si>
    <t>DÉPENSES</t>
  </si>
  <si>
    <r>
      <rPr>
        <b/>
        <sz val="10"/>
        <color rgb="FF17365D"/>
        <rFont val="Century Gothic"/>
      </rPr>
      <t>SOLDE BUDGÉTAIRE</t>
    </r>
    <r>
      <rPr>
        <b/>
        <vertAlign val="superscript"/>
        <sz val="10"/>
        <color rgb="FF17365D"/>
        <rFont val="Century Gothic"/>
      </rPr>
      <t>(3)</t>
    </r>
  </si>
  <si>
    <t>(1) Voyez ici le cadre financier incluant vos engagements.
(2) Les autres portefeuilles incluent les éliminations interportefeuilles, qui résultent de l’élimination des opérations réciproques entre les entités de différents portefeuilles.
(3) Solde budgétaire au sens de la Loi sur l'équilibre budgétaire, après utilisation de la réserve de stabilisation.</t>
  </si>
  <si>
    <t>Réserve de stabilisation simulée</t>
  </si>
  <si>
    <t>Dette brute du gouvernement du Québec au 31 mars simulée</t>
  </si>
  <si>
    <t xml:space="preserve">Dette selon le Rapport préélectoral </t>
  </si>
  <si>
    <t>Impact cumulatif sur la dette des engagements  des années précédentes</t>
  </si>
  <si>
    <t>DETTE SIMULÉE</t>
  </si>
  <si>
    <t xml:space="preserve">  En % PIB</t>
  </si>
  <si>
    <t>Dette représentant les déficits cumulés du gouvernement du Québec au 31 mars simulée</t>
  </si>
  <si>
    <r>
      <rPr>
        <b/>
        <sz val="11"/>
        <color rgb="FF17365D"/>
        <rFont val="Century Gothic"/>
      </rPr>
      <t xml:space="preserve">Résultats de simulation comparés </t>
    </r>
    <r>
      <rPr>
        <b/>
        <sz val="11"/>
        <color rgb="FF17365D"/>
        <rFont val="Calibri"/>
      </rPr>
      <t>–</t>
    </r>
    <r>
      <rPr>
        <b/>
        <sz val="11"/>
        <color rgb="FF17365D"/>
        <rFont val="Century Gothic"/>
      </rPr>
      <t xml:space="preserve"> 2021-2022 à 2026-2027</t>
    </r>
    <r>
      <rPr>
        <b/>
        <vertAlign val="superscript"/>
        <sz val="11"/>
        <color rgb="FF17365D"/>
        <rFont val="Century Gothic"/>
      </rPr>
      <t>(1)</t>
    </r>
  </si>
  <si>
    <r>
      <rPr>
        <b/>
        <sz val="8"/>
        <color rgb="FF17365D"/>
        <rFont val="Century Gothic"/>
      </rPr>
      <t>2021-2027</t>
    </r>
    <r>
      <rPr>
        <b/>
        <vertAlign val="superscript"/>
        <sz val="8"/>
        <color rgb="FF244061"/>
        <rFont val="Century Gothic"/>
      </rPr>
      <t>(1)</t>
    </r>
  </si>
  <si>
    <r>
      <rPr>
        <sz val="8"/>
        <color rgb="FF660033"/>
        <rFont val="Century Gothic"/>
      </rPr>
      <t>Autres portefeuilles</t>
    </r>
    <r>
      <rPr>
        <vertAlign val="superscript"/>
        <sz val="8"/>
        <color rgb="FF660033"/>
        <rFont val="Century Gothic"/>
      </rPr>
      <t>(2)</t>
    </r>
  </si>
  <si>
    <r>
      <rPr>
        <b/>
        <sz val="10"/>
        <color rgb="FF17365D"/>
        <rFont val="Century Gothic"/>
      </rPr>
      <t>SOLDE BUDGÉTAIRE</t>
    </r>
    <r>
      <rPr>
        <b/>
        <vertAlign val="superscript"/>
        <sz val="10"/>
        <color rgb="FF17365D"/>
        <rFont val="Century Gothic"/>
      </rPr>
      <t>(3)</t>
    </r>
  </si>
  <si>
    <t>(1) Voyez ici l'écart entre le cadre financier de vos engagements et le cadre financier du rapport préélectoral.
(2) Les autres portefeuilles incluent les éliminations interportefeuilles, qui résultent de l’élimination des opérations réciproques entre les entités de différents portefeuilles.
(3) Solde budgétaire au sens de la Loi sur l'équilibre budgétaire, après utilisation de la réserve de stabilisation.</t>
  </si>
  <si>
    <t>LISTES</t>
  </si>
  <si>
    <t>Liste pour les dépenses</t>
  </si>
  <si>
    <t>Liste pour les revenus</t>
  </si>
  <si>
    <t>Liste déroulante des taux d'intérêts</t>
  </si>
  <si>
    <t>Revenus consolidés</t>
  </si>
  <si>
    <t>Engagements sur les revenus</t>
  </si>
  <si>
    <t>Revenus consolidés modifiés</t>
  </si>
  <si>
    <t>Dépenses consolidées</t>
  </si>
  <si>
    <t>Ajustement au PQI</t>
  </si>
  <si>
    <t>Engagements sur les dépenses</t>
  </si>
  <si>
    <t>Dépenses consolidées modifiées</t>
  </si>
  <si>
    <t>Provision pour risques</t>
  </si>
  <si>
    <t>SOLDE BUDGÉTAIRE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</si>
</sst>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0;#,##0"/>
    <numFmt numFmtId="166" formatCode="0.0"/>
    <numFmt numFmtId="167" formatCode="#,##0.0"/>
    <numFmt numFmtId="168" formatCode="#,##0;\–#,##0"/>
    <numFmt numFmtId="169" formatCode="#,##0.0;\–#,##0.0"/>
    <numFmt numFmtId="170" formatCode="0.0%"/>
    <numFmt numFmtId="171" formatCode="[=0]\—;\–#,##0.000000000000000000000000000;#,##0.000000000000000000000000000"/>
  </numFmts>
  <fonts count="109" x14ac:knownFonts="1">
    <font>
      <sz val="10"/>
      <color theme="1"/>
      <name val="Arial"/>
      <scheme val="minor"/>
    </font>
    <font>
      <sz val="10"/>
      <color theme="1"/>
      <name val="Arial"/>
    </font>
    <font>
      <sz val="10"/>
      <name val="Arial"/>
    </font>
    <font>
      <b/>
      <sz val="18"/>
      <color theme="0"/>
      <name val="Century Gothic"/>
    </font>
    <font>
      <sz val="10"/>
      <color theme="1"/>
      <name val="Century Gothic"/>
    </font>
    <font>
      <b/>
      <sz val="12"/>
      <color theme="1"/>
      <name val="Century Gothic"/>
    </font>
    <font>
      <sz val="12"/>
      <color theme="1"/>
      <name val="Century Gothic"/>
    </font>
    <font>
      <b/>
      <u/>
      <sz val="12"/>
      <color rgb="FF0000C4"/>
      <name val="Century Gothic"/>
    </font>
    <font>
      <b/>
      <u/>
      <sz val="12"/>
      <color rgb="FF0A7292"/>
      <name val="Century Gothic"/>
    </font>
    <font>
      <b/>
      <u/>
      <sz val="12"/>
      <color rgb="FF0A7292"/>
      <name val="Century Gothic"/>
    </font>
    <font>
      <sz val="12"/>
      <color rgb="FF042C38"/>
      <name val="Century Gothic"/>
    </font>
    <font>
      <sz val="9"/>
      <color theme="1"/>
      <name val="Century Gothic"/>
    </font>
    <font>
      <b/>
      <sz val="16"/>
      <color theme="0"/>
      <name val="Century Gothic"/>
    </font>
    <font>
      <sz val="10"/>
      <color rgb="FF366092"/>
      <name val="Century Gothic"/>
    </font>
    <font>
      <sz val="9"/>
      <color rgb="FF366092"/>
      <name val="Century Gothic"/>
    </font>
    <font>
      <b/>
      <sz val="11"/>
      <color theme="1"/>
      <name val="Century Gothic"/>
    </font>
    <font>
      <b/>
      <sz val="11"/>
      <color rgb="FF244061"/>
      <name val="Century Gothic"/>
    </font>
    <font>
      <b/>
      <sz val="8"/>
      <color rgb="FF3A4323"/>
      <name val="Century Gothic"/>
    </font>
    <font>
      <b/>
      <sz val="8"/>
      <color rgb="FF366092"/>
      <name val="Century Gothic"/>
    </font>
    <font>
      <b/>
      <sz val="8"/>
      <color rgb="FF244061"/>
      <name val="Century Gothic"/>
    </font>
    <font>
      <b/>
      <sz val="10"/>
      <color theme="1"/>
      <name val="Century Gothic"/>
    </font>
    <font>
      <b/>
      <sz val="10"/>
      <color rgb="FF2D432E"/>
      <name val="Century Gothic"/>
    </font>
    <font>
      <sz val="10"/>
      <color rgb="FF2D432E"/>
      <name val="Century Gothic"/>
    </font>
    <font>
      <sz val="8"/>
      <color rgb="FF2D432E"/>
      <name val="Century Gothic"/>
    </font>
    <font>
      <b/>
      <i/>
      <sz val="8"/>
      <color rgb="FF2D432E"/>
      <name val="Century Gothic"/>
    </font>
    <font>
      <b/>
      <sz val="10"/>
      <color rgb="FF366092"/>
      <name val="Century Gothic"/>
    </font>
    <font>
      <i/>
      <sz val="8"/>
      <color rgb="FF2D432E"/>
      <name val="Century Gothic"/>
    </font>
    <font>
      <b/>
      <i/>
      <sz val="11"/>
      <color rgb="FF366092"/>
      <name val="Century Gothic"/>
    </font>
    <font>
      <i/>
      <sz val="11"/>
      <color rgb="FF2D432E"/>
      <name val="Century Gothic"/>
    </font>
    <font>
      <i/>
      <sz val="11"/>
      <color rgb="FF366092"/>
      <name val="Century Gothic"/>
    </font>
    <font>
      <b/>
      <i/>
      <sz val="10"/>
      <color rgb="FF2D432E"/>
      <name val="Century Gothic"/>
    </font>
    <font>
      <i/>
      <sz val="8"/>
      <color rgb="FF7F7F7F"/>
      <name val="Century Gothic"/>
    </font>
    <font>
      <b/>
      <sz val="10"/>
      <color rgb="FF660033"/>
      <name val="Century Gothic"/>
    </font>
    <font>
      <sz val="8"/>
      <color rgb="FF660033"/>
      <name val="Century Gothic"/>
    </font>
    <font>
      <b/>
      <i/>
      <sz val="8"/>
      <color rgb="FF660033"/>
      <name val="Century Gothic"/>
    </font>
    <font>
      <i/>
      <sz val="8"/>
      <color rgb="FF660033"/>
      <name val="Century Gothic"/>
    </font>
    <font>
      <i/>
      <sz val="11"/>
      <color rgb="FF660033"/>
      <name val="Century Gothic"/>
    </font>
    <font>
      <sz val="10"/>
      <color rgb="FF660033"/>
      <name val="Century Gothic"/>
    </font>
    <font>
      <i/>
      <sz val="10"/>
      <color rgb="FF366092"/>
      <name val="Century Gothic"/>
    </font>
    <font>
      <b/>
      <i/>
      <sz val="10"/>
      <color rgb="FF660033"/>
      <name val="Century Gothic"/>
    </font>
    <font>
      <i/>
      <sz val="8"/>
      <color rgb="FF366092"/>
      <name val="Century Gothic"/>
    </font>
    <font>
      <b/>
      <i/>
      <sz val="8"/>
      <color rgb="FF366092"/>
      <name val="Century Gothic"/>
    </font>
    <font>
      <sz val="10"/>
      <color rgb="FF0F243E"/>
      <name val="Century Gothic"/>
    </font>
    <font>
      <b/>
      <sz val="10"/>
      <color rgb="FF0F243E"/>
      <name val="Century Gothic"/>
    </font>
    <font>
      <sz val="10"/>
      <color rgb="FF000000"/>
      <name val="Century Gothic"/>
    </font>
    <font>
      <sz val="8"/>
      <color rgb="FF366092"/>
      <name val="Century Gothic"/>
    </font>
    <font>
      <sz val="10"/>
      <color rgb="FF17365D"/>
      <name val="Century Gothic"/>
    </font>
    <font>
      <b/>
      <sz val="10"/>
      <color rgb="FF17365D"/>
      <name val="Century Gothic"/>
    </font>
    <font>
      <sz val="7"/>
      <color rgb="FF366092"/>
      <name val="Century Gothic"/>
    </font>
    <font>
      <b/>
      <sz val="8"/>
      <color rgb="FF17365D"/>
      <name val="Century Gothic"/>
    </font>
    <font>
      <i/>
      <sz val="9"/>
      <color rgb="FF366092"/>
      <name val="Century Gothic"/>
    </font>
    <font>
      <u/>
      <sz val="8"/>
      <color theme="10"/>
      <name val="Century Gothic"/>
    </font>
    <font>
      <b/>
      <sz val="11"/>
      <color rgb="FF2D3C2E"/>
      <name val="Century Gothic"/>
    </font>
    <font>
      <sz val="10"/>
      <color rgb="FF2D3C2E"/>
      <name val="Century Gothic"/>
    </font>
    <font>
      <b/>
      <sz val="8"/>
      <color rgb="FF2D3C2E"/>
      <name val="Century Gothic"/>
    </font>
    <font>
      <b/>
      <sz val="10"/>
      <color rgb="FF2D3C2E"/>
      <name val="Century Gothic"/>
    </font>
    <font>
      <sz val="9"/>
      <color rgb="FF2D3C2E"/>
      <name val="Century Gothic"/>
    </font>
    <font>
      <sz val="8"/>
      <color rgb="FF2D3C2E"/>
      <name val="Century Gothic"/>
    </font>
    <font>
      <sz val="7"/>
      <color rgb="FF2D3C2E"/>
      <name val="Century Gothic"/>
    </font>
    <font>
      <b/>
      <sz val="16"/>
      <color theme="1"/>
      <name val="Century Gothic"/>
    </font>
    <font>
      <b/>
      <sz val="11"/>
      <color rgb="FF17365D"/>
      <name val="Century Gothic"/>
    </font>
    <font>
      <b/>
      <sz val="11"/>
      <color rgb="FF00CCFF"/>
      <name val="Century Gothic"/>
    </font>
    <font>
      <b/>
      <sz val="11"/>
      <color theme="0"/>
      <name val="Century Gothic"/>
    </font>
    <font>
      <sz val="9"/>
      <color rgb="FF17365D"/>
      <name val="Century Gothic"/>
    </font>
    <font>
      <b/>
      <sz val="9"/>
      <color rgb="FF1A6372"/>
      <name val="Century Gothic"/>
    </font>
    <font>
      <b/>
      <sz val="9"/>
      <color rgb="FF3A4323"/>
      <name val="Century Gothic"/>
    </font>
    <font>
      <sz val="10"/>
      <color rgb="FF3A4323"/>
      <name val="Century Gothic"/>
    </font>
    <font>
      <sz val="8"/>
      <color rgb="FF3A4323"/>
      <name val="Century Gothic"/>
    </font>
    <font>
      <i/>
      <sz val="8"/>
      <color rgb="FF3A4323"/>
      <name val="Century Gothic"/>
    </font>
    <font>
      <vertAlign val="superscript"/>
      <sz val="10"/>
      <color rgb="FF366092"/>
      <name val="Century Gothic"/>
    </font>
    <font>
      <b/>
      <sz val="8"/>
      <color rgb="FF2D432E"/>
      <name val="Century Gothic"/>
    </font>
    <font>
      <b/>
      <i/>
      <sz val="8"/>
      <color rgb="FF3A4323"/>
      <name val="Century Gothic"/>
    </font>
    <font>
      <b/>
      <sz val="9"/>
      <color rgb="FF660033"/>
      <name val="Century Gothic"/>
    </font>
    <font>
      <b/>
      <sz val="8"/>
      <color rgb="FF660033"/>
      <name val="Century Gothic"/>
    </font>
    <font>
      <b/>
      <sz val="9"/>
      <color rgb="FF17365D"/>
      <name val="Century Gothic"/>
    </font>
    <font>
      <sz val="8"/>
      <color rgb="FF17365D"/>
      <name val="Century Gothic"/>
    </font>
    <font>
      <sz val="8"/>
      <color rgb="FF17365D"/>
      <name val="Arial"/>
    </font>
    <font>
      <sz val="8"/>
      <color rgb="FF0F243E"/>
      <name val="Century Gothic"/>
    </font>
    <font>
      <b/>
      <sz val="8"/>
      <color rgb="FF0F243E"/>
      <name val="Century Gothic"/>
    </font>
    <font>
      <b/>
      <sz val="11"/>
      <color rgb="FF366092"/>
      <name val="Century Gothic"/>
    </font>
    <font>
      <b/>
      <sz val="9"/>
      <color rgb="FFFF0000"/>
      <name val="Century Gothic"/>
    </font>
    <font>
      <sz val="8"/>
      <color theme="1"/>
      <name val="Arial"/>
    </font>
    <font>
      <b/>
      <sz val="10"/>
      <color rgb="FF3A4323"/>
      <name val="Century Gothic"/>
    </font>
    <font>
      <sz val="9"/>
      <color rgb="FF3A4323"/>
      <name val="Century Gothic"/>
    </font>
    <font>
      <sz val="9"/>
      <color rgb="FF660033"/>
      <name val="Century Gothic"/>
    </font>
    <font>
      <b/>
      <sz val="10"/>
      <color rgb="FF16365C"/>
      <name val="Century Gothic"/>
    </font>
    <font>
      <i/>
      <sz val="9"/>
      <color rgb="FF17365D"/>
      <name val="Century Gothic"/>
    </font>
    <font>
      <b/>
      <i/>
      <sz val="9"/>
      <color rgb="FF17365D"/>
      <name val="Century Gothic"/>
    </font>
    <font>
      <b/>
      <i/>
      <sz val="10"/>
      <color rgb="FF17365D"/>
      <name val="Century Gothic"/>
    </font>
    <font>
      <sz val="10"/>
      <color rgb="FF16365C"/>
      <name val="Century Gothic"/>
    </font>
    <font>
      <b/>
      <sz val="10"/>
      <color theme="1"/>
      <name val="Arial"/>
    </font>
    <font>
      <sz val="10"/>
      <color theme="1"/>
      <name val="Arial"/>
      <scheme val="minor"/>
    </font>
    <font>
      <b/>
      <sz val="10"/>
      <color theme="1"/>
      <name val="Arial"/>
      <scheme val="minor"/>
    </font>
    <font>
      <i/>
      <sz val="9"/>
      <color theme="1"/>
      <name val="Century Gothic"/>
    </font>
    <font>
      <b/>
      <vertAlign val="superscript"/>
      <sz val="8"/>
      <color rgb="FF244061"/>
      <name val="Century Gothic"/>
    </font>
    <font>
      <vertAlign val="superscript"/>
      <sz val="8"/>
      <color rgb="FF660033"/>
      <name val="Century Gothic"/>
    </font>
    <font>
      <b/>
      <vertAlign val="superscript"/>
      <sz val="10"/>
      <color rgb="FF0F243E"/>
      <name val="Century Gothic"/>
    </font>
    <font>
      <b/>
      <vertAlign val="superscript"/>
      <sz val="9"/>
      <color rgb="FF1A6372"/>
      <name val="Century Gothic"/>
    </font>
    <font>
      <b/>
      <vertAlign val="superscript"/>
      <sz val="9"/>
      <color rgb="FF3A4323"/>
      <name val="Century Gothic"/>
    </font>
    <font>
      <b/>
      <vertAlign val="superscript"/>
      <sz val="9"/>
      <color rgb="FF660033"/>
      <name val="Century Gothic"/>
    </font>
    <font>
      <vertAlign val="superscript"/>
      <sz val="8"/>
      <color rgb="FF17365D"/>
      <name val="Century Gothic"/>
    </font>
    <font>
      <b/>
      <vertAlign val="superscript"/>
      <sz val="9"/>
      <color rgb="FF17365D"/>
      <name val="Century Gothic"/>
    </font>
    <font>
      <b/>
      <vertAlign val="superscript"/>
      <sz val="8"/>
      <color rgb="FF17365D"/>
      <name val="Century Gothic"/>
    </font>
    <font>
      <sz val="8"/>
      <color rgb="FF1A6372"/>
      <name val="Century Gothic"/>
    </font>
    <font>
      <b/>
      <sz val="8"/>
      <color rgb="FF1A6372"/>
      <name val="Century Gothic"/>
    </font>
    <font>
      <sz val="8"/>
      <color rgb="FF3A4323"/>
      <name val="Calibri"/>
    </font>
    <font>
      <b/>
      <sz val="11"/>
      <color rgb="FF17365D"/>
      <name val="Calibri"/>
    </font>
    <font>
      <b/>
      <vertAlign val="superscript"/>
      <sz val="11"/>
      <color rgb="FF17365D"/>
      <name val="Century Gothic"/>
    </font>
    <font>
      <b/>
      <vertAlign val="superscript"/>
      <sz val="10"/>
      <color rgb="FF17365D"/>
      <name val="Century Gothic"/>
    </font>
  </fonts>
  <fills count="18">
    <fill>
      <patternFill patternType="none"/>
    </fill>
    <fill>
      <patternFill patternType="gray125"/>
    </fill>
    <fill>
      <patternFill patternType="solid">
        <fgColor rgb="FF366092"/>
        <bgColor rgb="FF366092"/>
      </patternFill>
    </fill>
    <fill>
      <patternFill patternType="solid">
        <fgColor rgb="FFD7E1ED"/>
        <bgColor rgb="FFD7E1ED"/>
      </patternFill>
    </fill>
    <fill>
      <patternFill patternType="solid">
        <fgColor rgb="FF244061"/>
        <bgColor rgb="FF244061"/>
      </patternFill>
    </fill>
    <fill>
      <patternFill patternType="solid">
        <fgColor theme="0"/>
        <bgColor theme="0"/>
      </patternFill>
    </fill>
    <fill>
      <patternFill patternType="solid">
        <fgColor rgb="FFCCD8C6"/>
        <bgColor rgb="FFCCD8C6"/>
      </patternFill>
    </fill>
    <fill>
      <patternFill patternType="solid">
        <fgColor rgb="FFEBF2EC"/>
        <bgColor rgb="FFEBF2EC"/>
      </patternFill>
    </fill>
    <fill>
      <patternFill patternType="solid">
        <fgColor rgb="FF00718C"/>
        <bgColor rgb="FF00718C"/>
      </patternFill>
    </fill>
    <fill>
      <patternFill patternType="solid">
        <fgColor rgb="FF5F5A5A"/>
        <bgColor rgb="FF5F5A5A"/>
      </patternFill>
    </fill>
    <fill>
      <patternFill patternType="solid">
        <fgColor rgb="FFEEF2F0"/>
        <bgColor rgb="FFEEF2F0"/>
      </patternFill>
    </fill>
    <fill>
      <patternFill patternType="solid">
        <fgColor rgb="FFF1EDF3"/>
        <bgColor rgb="FFF1EDF3"/>
      </patternFill>
    </fill>
    <fill>
      <patternFill patternType="solid">
        <fgColor rgb="FFF2F2F2"/>
        <bgColor rgb="FFF2F2F2"/>
      </patternFill>
    </fill>
    <fill>
      <patternFill patternType="solid">
        <fgColor rgb="FFEEF2EF"/>
        <bgColor rgb="FFEEF2EF"/>
      </patternFill>
    </fill>
    <fill>
      <patternFill patternType="solid">
        <fgColor rgb="FFF1EEEF"/>
        <bgColor rgb="FFF1EEEF"/>
      </patternFill>
    </fill>
    <fill>
      <patternFill patternType="solid">
        <fgColor rgb="FF3F444D"/>
        <bgColor rgb="FF3F444D"/>
      </patternFill>
    </fill>
    <fill>
      <patternFill patternType="solid">
        <fgColor rgb="FF336181"/>
        <bgColor rgb="FF336181"/>
      </patternFill>
    </fill>
    <fill>
      <patternFill patternType="solid">
        <fgColor rgb="FFC9DAF8"/>
        <bgColor rgb="FFC9DAF8"/>
      </patternFill>
    </fill>
  </fills>
  <borders count="45">
    <border>
      <left/>
      <right/>
      <top/>
      <bottom/>
      <diagonal/>
    </border>
    <border>
      <left style="thin">
        <color rgb="FF000000"/>
      </left>
      <right/>
      <top style="thin">
        <color rgb="FF244061"/>
      </top>
      <bottom style="thin">
        <color rgb="FF244061"/>
      </bottom>
      <diagonal/>
    </border>
    <border>
      <left/>
      <right/>
      <top style="thin">
        <color rgb="FF244061"/>
      </top>
      <bottom style="thin">
        <color rgb="FF244061"/>
      </bottom>
      <diagonal/>
    </border>
    <border>
      <left/>
      <right/>
      <top style="thin">
        <color rgb="FF244061"/>
      </top>
      <bottom style="thin">
        <color rgb="FF244061"/>
      </bottom>
      <diagonal/>
    </border>
    <border>
      <left/>
      <right style="thin">
        <color rgb="FF244061"/>
      </right>
      <top style="thin">
        <color rgb="FF244061"/>
      </top>
      <bottom style="thin">
        <color rgb="FF244061"/>
      </bottom>
      <diagonal/>
    </border>
    <border>
      <left/>
      <right/>
      <top style="thin">
        <color rgb="FF244061"/>
      </top>
      <bottom/>
      <diagonal/>
    </border>
    <border>
      <left/>
      <right/>
      <top/>
      <bottom/>
      <diagonal/>
    </border>
    <border>
      <left/>
      <right/>
      <top/>
      <bottom/>
      <diagonal/>
    </border>
    <border>
      <left/>
      <right/>
      <top/>
      <bottom/>
      <diagonal/>
    </border>
    <border>
      <left style="thin">
        <color rgb="FF366092"/>
      </left>
      <right/>
      <top style="thin">
        <color rgb="FF366092"/>
      </top>
      <bottom style="thin">
        <color rgb="FF366092"/>
      </bottom>
      <diagonal/>
    </border>
    <border>
      <left/>
      <right/>
      <top style="thin">
        <color rgb="FF366092"/>
      </top>
      <bottom style="thin">
        <color rgb="FF366092"/>
      </bottom>
      <diagonal/>
    </border>
    <border>
      <left/>
      <right/>
      <top style="thin">
        <color rgb="FF366092"/>
      </top>
      <bottom style="thin">
        <color rgb="FF366092"/>
      </bottom>
      <diagonal/>
    </border>
    <border>
      <left/>
      <right/>
      <top style="thin">
        <color rgb="FF366092"/>
      </top>
      <bottom style="thin">
        <color rgb="FF366092"/>
      </bottom>
      <diagonal/>
    </border>
    <border>
      <left/>
      <right style="thin">
        <color rgb="FF366092"/>
      </right>
      <top style="thin">
        <color rgb="FF366092"/>
      </top>
      <bottom style="thin">
        <color rgb="FF366092"/>
      </bottom>
      <diagonal/>
    </border>
    <border>
      <left/>
      <right/>
      <top style="medium">
        <color rgb="FF366092"/>
      </top>
      <bottom/>
      <diagonal/>
    </border>
    <border>
      <left/>
      <right/>
      <top style="thin">
        <color rgb="FF3A4323"/>
      </top>
      <bottom/>
      <diagonal/>
    </border>
    <border>
      <left/>
      <right/>
      <top style="thin">
        <color rgb="FF660033"/>
      </top>
      <bottom/>
      <diagonal/>
    </border>
    <border>
      <left/>
      <right/>
      <top style="thin">
        <color rgb="FF000000"/>
      </top>
      <bottom/>
      <diagonal/>
    </border>
    <border>
      <left/>
      <right/>
      <top/>
      <bottom style="medium">
        <color rgb="FF366092"/>
      </bottom>
      <diagonal/>
    </border>
    <border>
      <left/>
      <right/>
      <top style="medium">
        <color rgb="FF366092"/>
      </top>
      <bottom/>
      <diagonal/>
    </border>
    <border>
      <left/>
      <right/>
      <top style="medium">
        <color rgb="FF0F243E"/>
      </top>
      <bottom/>
      <diagonal/>
    </border>
    <border>
      <left/>
      <right/>
      <top style="medium">
        <color rgb="FF3A4323"/>
      </top>
      <bottom/>
      <diagonal/>
    </border>
    <border>
      <left/>
      <right/>
      <top/>
      <bottom style="medium">
        <color rgb="FF000000"/>
      </bottom>
      <diagonal/>
    </border>
    <border>
      <left/>
      <right/>
      <top style="thin">
        <color rgb="FF366092"/>
      </top>
      <bottom style="thin">
        <color rgb="FF366092"/>
      </bottom>
      <diagonal/>
    </border>
    <border>
      <left/>
      <right style="thin">
        <color rgb="FF366092"/>
      </right>
      <top style="thin">
        <color rgb="FF366092"/>
      </top>
      <bottom style="thin">
        <color rgb="FF366092"/>
      </bottom>
      <diagonal/>
    </border>
    <border>
      <left style="thin">
        <color rgb="FF595959"/>
      </left>
      <right/>
      <top style="thin">
        <color rgb="FF595959"/>
      </top>
      <bottom/>
      <diagonal/>
    </border>
    <border>
      <left style="thin">
        <color rgb="FF000000"/>
      </left>
      <right style="thin">
        <color rgb="FF000000"/>
      </right>
      <top style="thin">
        <color rgb="FF000000"/>
      </top>
      <bottom style="thin">
        <color rgb="FF000000"/>
      </bottom>
      <diagonal/>
    </border>
    <border>
      <left/>
      <right/>
      <top/>
      <bottom style="thin">
        <color rgb="FF3A4323"/>
      </bottom>
      <diagonal/>
    </border>
    <border>
      <left/>
      <right/>
      <top/>
      <bottom style="medium">
        <color rgb="FF0F243E"/>
      </bottom>
      <diagonal/>
    </border>
    <border>
      <left/>
      <right/>
      <top/>
      <bottom style="medium">
        <color rgb="FF0F243E"/>
      </bottom>
      <diagonal/>
    </border>
    <border>
      <left/>
      <right/>
      <top style="thin">
        <color rgb="FF000000"/>
      </top>
      <bottom style="thin">
        <color rgb="FF000000"/>
      </bottom>
      <diagonal/>
    </border>
    <border>
      <left/>
      <right/>
      <top style="medium">
        <color rgb="FF0F243E"/>
      </top>
      <bottom/>
      <diagonal/>
    </border>
    <border>
      <left/>
      <right/>
      <top style="thin">
        <color rgb="FF324010"/>
      </top>
      <bottom/>
      <diagonal/>
    </border>
    <border>
      <left/>
      <right/>
      <top/>
      <bottom style="thin">
        <color rgb="FF3A4323"/>
      </bottom>
      <diagonal/>
    </border>
    <border>
      <left/>
      <right/>
      <top/>
      <bottom style="thin">
        <color rgb="FF000000"/>
      </bottom>
      <diagonal/>
    </border>
    <border>
      <left/>
      <right/>
      <top/>
      <bottom style="thin">
        <color rgb="FF324010"/>
      </bottom>
      <diagonal/>
    </border>
    <border>
      <left/>
      <right/>
      <top style="thin">
        <color rgb="FF401028"/>
      </top>
      <bottom/>
      <diagonal/>
    </border>
    <border>
      <left/>
      <right/>
      <top style="thin">
        <color rgb="FF660033"/>
      </top>
      <bottom/>
      <diagonal/>
    </border>
    <border>
      <left/>
      <right/>
      <top/>
      <bottom style="thin">
        <color rgb="FF401028"/>
      </bottom>
      <diagonal/>
    </border>
    <border>
      <left/>
      <right/>
      <top style="thin">
        <color rgb="FF17365D"/>
      </top>
      <bottom style="thin">
        <color rgb="FF17365D"/>
      </bottom>
      <diagonal/>
    </border>
    <border>
      <left/>
      <right/>
      <top style="thin">
        <color indexed="64"/>
      </top>
      <bottom style="thin">
        <color indexed="64"/>
      </bottom>
      <diagonal/>
    </border>
    <border>
      <left/>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9">
    <xf numFmtId="0" fontId="0" fillId="0" borderId="0" xfId="0"/>
    <xf numFmtId="0" fontId="1" fillId="0" borderId="0" xfId="0" applyFont="1"/>
    <xf numFmtId="0" fontId="4" fillId="0" borderId="5" xfId="0" applyFont="1" applyBorder="1"/>
    <xf numFmtId="0" fontId="4" fillId="0" borderId="0" xfId="0" applyFont="1"/>
    <xf numFmtId="0" fontId="6" fillId="0" borderId="0" xfId="0" applyFont="1"/>
    <xf numFmtId="0" fontId="7" fillId="0" borderId="0" xfId="0" applyFont="1"/>
    <xf numFmtId="0" fontId="8" fillId="3" borderId="6" xfId="0" applyFont="1" applyFill="1" applyBorder="1"/>
    <xf numFmtId="0" fontId="6" fillId="3" borderId="6" xfId="0" applyFont="1" applyFill="1" applyBorder="1"/>
    <xf numFmtId="0" fontId="11" fillId="0" borderId="0" xfId="0" applyFont="1" applyAlignment="1">
      <alignment horizontal="right" vertical="top"/>
    </xf>
    <xf numFmtId="0" fontId="1" fillId="4" borderId="6" xfId="0" applyFont="1" applyFill="1" applyBorder="1"/>
    <xf numFmtId="0" fontId="12" fillId="5" borderId="12" xfId="0" applyFont="1" applyFill="1" applyBorder="1" applyAlignment="1">
      <alignment vertical="center"/>
    </xf>
    <xf numFmtId="0" fontId="12" fillId="5" borderId="13" xfId="0" applyFont="1" applyFill="1" applyBorder="1" applyAlignment="1">
      <alignment vertical="center"/>
    </xf>
    <xf numFmtId="0" fontId="13" fillId="0" borderId="0" xfId="0" applyFont="1"/>
    <xf numFmtId="0" fontId="14" fillId="0" borderId="0" xfId="0" applyFont="1" applyAlignment="1">
      <alignment vertical="top"/>
    </xf>
    <xf numFmtId="0" fontId="15" fillId="0" borderId="0" xfId="0" applyFont="1" applyAlignment="1">
      <alignment horizontal="left" wrapText="1"/>
    </xf>
    <xf numFmtId="0" fontId="11" fillId="0" borderId="0" xfId="0" applyFont="1" applyAlignment="1">
      <alignment horizontal="left" wrapText="1"/>
    </xf>
    <xf numFmtId="0" fontId="17" fillId="0" borderId="0" xfId="0" applyFont="1" applyAlignment="1">
      <alignment horizontal="right" vertical="center" wrapText="1"/>
    </xf>
    <xf numFmtId="0" fontId="18" fillId="3" borderId="14" xfId="0" applyFont="1" applyFill="1" applyBorder="1" applyAlignment="1">
      <alignment horizontal="left" wrapText="1"/>
    </xf>
    <xf numFmtId="0" fontId="19" fillId="3" borderId="14" xfId="0" applyFont="1" applyFill="1" applyBorder="1" applyAlignment="1">
      <alignment horizontal="right" vertical="center" wrapText="1"/>
    </xf>
    <xf numFmtId="0" fontId="18" fillId="0" borderId="0" xfId="0" applyFont="1" applyAlignment="1">
      <alignment horizontal="left" wrapText="1"/>
    </xf>
    <xf numFmtId="0" fontId="18" fillId="0" borderId="0" xfId="0" applyFont="1" applyAlignment="1">
      <alignment horizontal="right" wrapText="1"/>
    </xf>
    <xf numFmtId="0" fontId="19" fillId="0" borderId="0" xfId="0" applyFont="1" applyAlignment="1">
      <alignment horizontal="right" vertical="center" wrapText="1"/>
    </xf>
    <xf numFmtId="0" fontId="19" fillId="0" borderId="0" xfId="0" applyFont="1" applyAlignment="1">
      <alignment horizontal="right" wrapText="1"/>
    </xf>
    <xf numFmtId="0" fontId="20" fillId="0" borderId="0" xfId="0" applyFont="1" applyAlignment="1">
      <alignment horizontal="right" wrapText="1"/>
    </xf>
    <xf numFmtId="0" fontId="21" fillId="0" borderId="0" xfId="0" applyFont="1" applyAlignment="1">
      <alignment horizontal="left" wrapText="1"/>
    </xf>
    <xf numFmtId="164" fontId="22" fillId="0" borderId="0" xfId="0" applyNumberFormat="1" applyFont="1" applyAlignment="1">
      <alignment horizontal="right" wrapText="1"/>
    </xf>
    <xf numFmtId="165" fontId="22" fillId="0" borderId="0" xfId="0" applyNumberFormat="1" applyFont="1" applyAlignment="1">
      <alignment horizontal="right" wrapText="1"/>
    </xf>
    <xf numFmtId="0" fontId="22" fillId="0" borderId="0" xfId="0" applyFont="1"/>
    <xf numFmtId="0" fontId="23" fillId="0" borderId="0" xfId="0" applyFont="1" applyAlignment="1">
      <alignment horizontal="right" vertical="center" wrapText="1"/>
    </xf>
    <xf numFmtId="0" fontId="23" fillId="0" borderId="0" xfId="0" applyFont="1" applyAlignment="1">
      <alignment horizontal="left" wrapText="1"/>
    </xf>
    <xf numFmtId="165" fontId="23" fillId="0" borderId="0" xfId="0" applyNumberFormat="1" applyFont="1" applyAlignment="1">
      <alignment horizontal="right" wrapText="1"/>
    </xf>
    <xf numFmtId="164" fontId="24" fillId="0" borderId="0" xfId="0" applyNumberFormat="1" applyFont="1" applyAlignment="1">
      <alignment horizontal="right" wrapText="1"/>
    </xf>
    <xf numFmtId="166" fontId="23" fillId="0" borderId="0" xfId="0" applyNumberFormat="1" applyFont="1" applyAlignment="1">
      <alignment horizontal="right" vertical="center" wrapText="1"/>
    </xf>
    <xf numFmtId="164" fontId="23" fillId="0" borderId="15" xfId="0" applyNumberFormat="1" applyFont="1" applyBorder="1" applyAlignment="1">
      <alignment horizontal="right" wrapText="1"/>
    </xf>
    <xf numFmtId="164" fontId="24" fillId="0" borderId="15" xfId="0" applyNumberFormat="1" applyFont="1" applyBorder="1" applyAlignment="1">
      <alignment horizontal="right" wrapText="1"/>
    </xf>
    <xf numFmtId="166" fontId="22" fillId="0" borderId="0" xfId="0" applyNumberFormat="1" applyFont="1" applyAlignment="1">
      <alignment horizontal="right" vertical="center" wrapText="1"/>
    </xf>
    <xf numFmtId="0" fontId="22" fillId="0" borderId="0" xfId="0" applyFont="1" applyAlignment="1">
      <alignment horizontal="left" wrapText="1"/>
    </xf>
    <xf numFmtId="0" fontId="25" fillId="0" borderId="0" xfId="0" applyFont="1"/>
    <xf numFmtId="0" fontId="26" fillId="0" borderId="0" xfId="0" applyFont="1" applyAlignment="1">
      <alignment horizontal="left" wrapText="1"/>
    </xf>
    <xf numFmtId="164" fontId="26" fillId="0" borderId="0" xfId="0" applyNumberFormat="1" applyFont="1" applyAlignment="1">
      <alignment horizontal="right" wrapText="1"/>
    </xf>
    <xf numFmtId="0" fontId="27" fillId="0" borderId="0" xfId="0" applyFont="1"/>
    <xf numFmtId="0" fontId="28" fillId="0" borderId="0" xfId="0" applyFont="1"/>
    <xf numFmtId="0" fontId="29" fillId="0" borderId="0" xfId="0" applyFont="1"/>
    <xf numFmtId="167" fontId="22" fillId="0" borderId="0" xfId="0" applyNumberFormat="1" applyFont="1" applyAlignment="1">
      <alignment horizontal="right" vertical="center" wrapText="1"/>
    </xf>
    <xf numFmtId="165" fontId="21" fillId="0" borderId="15" xfId="0" applyNumberFormat="1" applyFont="1" applyBorder="1" applyAlignment="1">
      <alignment horizontal="right" wrapText="1"/>
    </xf>
    <xf numFmtId="164" fontId="30" fillId="0" borderId="15" xfId="0" applyNumberFormat="1" applyFont="1" applyBorder="1" applyAlignment="1">
      <alignment horizontal="right" wrapText="1"/>
    </xf>
    <xf numFmtId="167" fontId="23" fillId="0" borderId="0" xfId="0" applyNumberFormat="1" applyFont="1" applyAlignment="1">
      <alignment horizontal="right" vertical="center" wrapText="1"/>
    </xf>
    <xf numFmtId="0" fontId="24" fillId="0" borderId="0" xfId="0" applyFont="1" applyAlignment="1">
      <alignment horizontal="left" wrapText="1"/>
    </xf>
    <xf numFmtId="0" fontId="31" fillId="0" borderId="0" xfId="0" applyFont="1" applyAlignment="1">
      <alignment horizontal="left" wrapText="1"/>
    </xf>
    <xf numFmtId="164" fontId="31" fillId="0" borderId="0" xfId="0" applyNumberFormat="1" applyFont="1" applyAlignment="1">
      <alignment horizontal="right" wrapText="1"/>
    </xf>
    <xf numFmtId="0" fontId="32" fillId="0" borderId="0" xfId="0" applyFont="1" applyAlignment="1">
      <alignment horizontal="left" wrapText="1"/>
    </xf>
    <xf numFmtId="164" fontId="32" fillId="0" borderId="0" xfId="0" applyNumberFormat="1" applyFont="1" applyAlignment="1">
      <alignment horizontal="right" wrapText="1"/>
    </xf>
    <xf numFmtId="0" fontId="32" fillId="0" borderId="0" xfId="0" applyFont="1"/>
    <xf numFmtId="0" fontId="33" fillId="0" borderId="0" xfId="0" applyFont="1" applyAlignment="1">
      <alignment horizontal="left" wrapText="1"/>
    </xf>
    <xf numFmtId="165" fontId="33" fillId="0" borderId="0" xfId="0" applyNumberFormat="1" applyFont="1" applyAlignment="1">
      <alignment horizontal="right" wrapText="1"/>
    </xf>
    <xf numFmtId="164" fontId="33" fillId="0" borderId="0" xfId="0" applyNumberFormat="1" applyFont="1" applyAlignment="1">
      <alignment horizontal="right" wrapText="1"/>
    </xf>
    <xf numFmtId="164" fontId="34" fillId="0" borderId="0" xfId="0" applyNumberFormat="1" applyFont="1" applyAlignment="1">
      <alignment horizontal="right" wrapText="1"/>
    </xf>
    <xf numFmtId="0" fontId="35" fillId="0" borderId="0" xfId="0" applyFont="1" applyAlignment="1">
      <alignment horizontal="left" wrapText="1"/>
    </xf>
    <xf numFmtId="164" fontId="35" fillId="0" borderId="0" xfId="0" applyNumberFormat="1" applyFont="1" applyAlignment="1">
      <alignment horizontal="right" wrapText="1"/>
    </xf>
    <xf numFmtId="0" fontId="36" fillId="0" borderId="0" xfId="0" applyFont="1"/>
    <xf numFmtId="0" fontId="33" fillId="0" borderId="0" xfId="0" applyFont="1" applyAlignment="1">
      <alignment wrapText="1"/>
    </xf>
    <xf numFmtId="164" fontId="34" fillId="0" borderId="0" xfId="0" applyNumberFormat="1" applyFont="1" applyAlignment="1">
      <alignment horizontal="right" vertical="center" wrapText="1"/>
    </xf>
    <xf numFmtId="165" fontId="33" fillId="0" borderId="0" xfId="0" applyNumberFormat="1" applyFont="1" applyAlignment="1">
      <alignment horizontal="right" vertical="center" wrapText="1"/>
    </xf>
    <xf numFmtId="164" fontId="33" fillId="0" borderId="16" xfId="0" applyNumberFormat="1" applyFont="1" applyBorder="1" applyAlignment="1">
      <alignment horizontal="right" wrapText="1"/>
    </xf>
    <xf numFmtId="164" fontId="34" fillId="0" borderId="16" xfId="0" applyNumberFormat="1" applyFont="1" applyBorder="1" applyAlignment="1">
      <alignment horizontal="right" wrapText="1"/>
    </xf>
    <xf numFmtId="0" fontId="37" fillId="0" borderId="0" xfId="0" applyFont="1" applyAlignment="1">
      <alignment horizontal="left" wrapText="1"/>
    </xf>
    <xf numFmtId="165" fontId="37" fillId="0" borderId="0" xfId="0" applyNumberFormat="1" applyFont="1" applyAlignment="1">
      <alignment horizontal="right" wrapText="1"/>
    </xf>
    <xf numFmtId="0" fontId="38" fillId="0" borderId="0" xfId="0" applyFont="1"/>
    <xf numFmtId="165" fontId="32" fillId="0" borderId="16" xfId="0" applyNumberFormat="1" applyFont="1" applyBorder="1" applyAlignment="1">
      <alignment horizontal="right" wrapText="1"/>
    </xf>
    <xf numFmtId="164" fontId="39" fillId="0" borderId="16" xfId="0" applyNumberFormat="1" applyFont="1" applyBorder="1" applyAlignment="1">
      <alignment horizontal="right" wrapText="1"/>
    </xf>
    <xf numFmtId="0" fontId="34" fillId="0" borderId="0" xfId="0" applyFont="1" applyAlignment="1">
      <alignment horizontal="left" wrapText="1"/>
    </xf>
    <xf numFmtId="0" fontId="40" fillId="0" borderId="0" xfId="0" applyFont="1" applyAlignment="1">
      <alignment horizontal="left" wrapText="1"/>
    </xf>
    <xf numFmtId="164" fontId="40" fillId="0" borderId="0" xfId="0" applyNumberFormat="1" applyFont="1" applyAlignment="1">
      <alignment horizontal="right" wrapText="1"/>
    </xf>
    <xf numFmtId="164" fontId="41" fillId="0" borderId="0" xfId="0" applyNumberFormat="1" applyFont="1" applyAlignment="1">
      <alignment horizontal="right" wrapText="1"/>
    </xf>
    <xf numFmtId="0" fontId="42" fillId="0" borderId="0" xfId="0" applyFont="1" applyAlignment="1">
      <alignment horizontal="left" wrapText="1"/>
    </xf>
    <xf numFmtId="165" fontId="42" fillId="0" borderId="0" xfId="0" applyNumberFormat="1" applyFont="1" applyAlignment="1">
      <alignment horizontal="right" wrapText="1"/>
    </xf>
    <xf numFmtId="0" fontId="42" fillId="0" borderId="0" xfId="0" applyFont="1"/>
    <xf numFmtId="0" fontId="43" fillId="0" borderId="10" xfId="0" applyFont="1" applyBorder="1" applyAlignment="1">
      <alignment horizontal="left" wrapText="1"/>
    </xf>
    <xf numFmtId="165" fontId="43" fillId="0" borderId="10" xfId="0" applyNumberFormat="1" applyFont="1" applyBorder="1" applyAlignment="1">
      <alignment horizontal="right" wrapText="1"/>
    </xf>
    <xf numFmtId="0" fontId="43" fillId="0" borderId="10" xfId="0" applyFont="1" applyBorder="1"/>
    <xf numFmtId="0" fontId="43" fillId="0" borderId="0" xfId="0" applyFont="1" applyAlignment="1">
      <alignment horizontal="left" wrapText="1"/>
    </xf>
    <xf numFmtId="164" fontId="43" fillId="0" borderId="0" xfId="0" applyNumberFormat="1" applyFont="1" applyAlignment="1">
      <alignment horizontal="right" wrapText="1"/>
    </xf>
    <xf numFmtId="0" fontId="43" fillId="0" borderId="0" xfId="0" applyFont="1"/>
    <xf numFmtId="3" fontId="22" fillId="0" borderId="0" xfId="0" applyNumberFormat="1" applyFont="1" applyAlignment="1">
      <alignment horizontal="right" vertical="center" wrapText="1"/>
    </xf>
    <xf numFmtId="168" fontId="43" fillId="0" borderId="0" xfId="0" applyNumberFormat="1" applyFont="1" applyAlignment="1">
      <alignment wrapText="1"/>
    </xf>
    <xf numFmtId="164" fontId="43" fillId="0" borderId="0" xfId="0" applyNumberFormat="1" applyFont="1" applyAlignment="1">
      <alignment wrapText="1"/>
    </xf>
    <xf numFmtId="168" fontId="42" fillId="0" borderId="0" xfId="0" applyNumberFormat="1" applyFont="1" applyAlignment="1">
      <alignment horizontal="left" wrapText="1"/>
    </xf>
    <xf numFmtId="3" fontId="44" fillId="0" borderId="0" xfId="0" applyNumberFormat="1" applyFont="1" applyAlignment="1">
      <alignment horizontal="right" vertical="center" wrapText="1"/>
    </xf>
    <xf numFmtId="164" fontId="42" fillId="0" borderId="0" xfId="0" applyNumberFormat="1" applyFont="1" applyAlignment="1">
      <alignment horizontal="right" vertical="center" wrapText="1"/>
    </xf>
    <xf numFmtId="168" fontId="43" fillId="0" borderId="17" xfId="0" applyNumberFormat="1" applyFont="1" applyBorder="1" applyAlignment="1">
      <alignment wrapText="1"/>
    </xf>
    <xf numFmtId="165" fontId="43" fillId="0" borderId="17" xfId="0" applyNumberFormat="1" applyFont="1" applyBorder="1" applyAlignment="1">
      <alignment horizontal="right" wrapText="1"/>
    </xf>
    <xf numFmtId="168" fontId="42" fillId="0" borderId="0" xfId="0" applyNumberFormat="1" applyFont="1" applyAlignment="1">
      <alignment wrapText="1"/>
    </xf>
    <xf numFmtId="168" fontId="43" fillId="3" borderId="18" xfId="0" applyNumberFormat="1" applyFont="1" applyFill="1" applyBorder="1" applyAlignment="1">
      <alignment wrapText="1"/>
    </xf>
    <xf numFmtId="165" fontId="43" fillId="3" borderId="18" xfId="0" applyNumberFormat="1" applyFont="1" applyFill="1" applyBorder="1" applyAlignment="1">
      <alignment wrapText="1"/>
    </xf>
    <xf numFmtId="168" fontId="45" fillId="0" borderId="0" xfId="0" applyNumberFormat="1" applyFont="1" applyAlignment="1">
      <alignment horizontal="left" vertical="top" wrapText="1"/>
    </xf>
    <xf numFmtId="0" fontId="46" fillId="0" borderId="0" xfId="0" applyFont="1"/>
    <xf numFmtId="165" fontId="46" fillId="0" borderId="0" xfId="0" applyNumberFormat="1" applyFont="1" applyAlignment="1">
      <alignment horizontal="right"/>
    </xf>
    <xf numFmtId="165" fontId="13" fillId="0" borderId="0" xfId="0" applyNumberFormat="1" applyFont="1" applyAlignment="1">
      <alignment horizontal="right"/>
    </xf>
    <xf numFmtId="168" fontId="47" fillId="3" borderId="18" xfId="0" applyNumberFormat="1" applyFont="1" applyFill="1" applyBorder="1" applyAlignment="1">
      <alignment wrapText="1"/>
    </xf>
    <xf numFmtId="165" fontId="47" fillId="3" borderId="18" xfId="0" applyNumberFormat="1" applyFont="1" applyFill="1" applyBorder="1" applyAlignment="1">
      <alignment wrapText="1"/>
    </xf>
    <xf numFmtId="165" fontId="43" fillId="0" borderId="0" xfId="0" applyNumberFormat="1" applyFont="1" applyAlignment="1">
      <alignment wrapText="1"/>
    </xf>
    <xf numFmtId="168" fontId="48" fillId="0" borderId="0" xfId="0" applyNumberFormat="1" applyFont="1" applyAlignment="1">
      <alignment horizontal="left" vertical="top" wrapText="1"/>
    </xf>
    <xf numFmtId="0" fontId="49" fillId="3" borderId="20" xfId="0" applyFont="1" applyFill="1" applyBorder="1" applyAlignment="1">
      <alignment horizontal="right" vertical="center" wrapText="1"/>
    </xf>
    <xf numFmtId="0" fontId="50" fillId="0" borderId="0" xfId="0" applyFont="1" applyAlignment="1">
      <alignment horizontal="left"/>
    </xf>
    <xf numFmtId="164" fontId="50" fillId="0" borderId="0" xfId="0" applyNumberFormat="1" applyFont="1" applyAlignment="1">
      <alignment horizontal="right"/>
    </xf>
    <xf numFmtId="0" fontId="46" fillId="0" borderId="0" xfId="0" applyFont="1" applyAlignment="1">
      <alignment wrapText="1"/>
    </xf>
    <xf numFmtId="169" fontId="48" fillId="0" borderId="0" xfId="0" applyNumberFormat="1" applyFont="1" applyAlignment="1">
      <alignment horizontal="left" vertical="top" wrapText="1"/>
    </xf>
    <xf numFmtId="0" fontId="13" fillId="2" borderId="6" xfId="0" applyFont="1" applyFill="1" applyBorder="1"/>
    <xf numFmtId="164" fontId="13" fillId="0" borderId="0" xfId="0" applyNumberFormat="1" applyFont="1"/>
    <xf numFmtId="164" fontId="46" fillId="0" borderId="0" xfId="0" applyNumberFormat="1" applyFont="1" applyAlignment="1">
      <alignment horizontal="right"/>
    </xf>
    <xf numFmtId="164" fontId="47" fillId="0" borderId="0" xfId="0" applyNumberFormat="1" applyFont="1" applyAlignment="1">
      <alignment horizontal="right"/>
    </xf>
    <xf numFmtId="165" fontId="13" fillId="0" borderId="0" xfId="0" applyNumberFormat="1" applyFont="1"/>
    <xf numFmtId="0" fontId="53" fillId="0" borderId="0" xfId="0" applyFont="1"/>
    <xf numFmtId="166" fontId="53" fillId="0" borderId="0" xfId="0" applyNumberFormat="1" applyFont="1"/>
    <xf numFmtId="0" fontId="54" fillId="6" borderId="21" xfId="0" applyFont="1" applyFill="1" applyBorder="1" applyAlignment="1">
      <alignment horizontal="left" wrapText="1"/>
    </xf>
    <xf numFmtId="0" fontId="55" fillId="6" borderId="21" xfId="0" applyFont="1" applyFill="1" applyBorder="1" applyAlignment="1">
      <alignment horizontal="right" vertical="center" wrapText="1"/>
    </xf>
    <xf numFmtId="0" fontId="55" fillId="7" borderId="6" xfId="0" applyFont="1" applyFill="1" applyBorder="1" applyAlignment="1">
      <alignment vertical="center" wrapText="1"/>
    </xf>
    <xf numFmtId="0" fontId="53" fillId="7" borderId="6" xfId="0" applyFont="1" applyFill="1" applyBorder="1"/>
    <xf numFmtId="0" fontId="56" fillId="0" borderId="0" xfId="0" applyFont="1" applyAlignment="1">
      <alignment vertical="center" wrapText="1"/>
    </xf>
    <xf numFmtId="166" fontId="56" fillId="0" borderId="0" xfId="0" applyNumberFormat="1" applyFont="1" applyAlignment="1">
      <alignment horizontal="right" vertical="center" wrapText="1"/>
    </xf>
    <xf numFmtId="0" fontId="55" fillId="7" borderId="6" xfId="0" applyFont="1" applyFill="1" applyBorder="1" applyAlignment="1">
      <alignment vertical="center"/>
    </xf>
    <xf numFmtId="166" fontId="53" fillId="7" borderId="6" xfId="0" applyNumberFormat="1" applyFont="1" applyFill="1" applyBorder="1" applyAlignment="1">
      <alignment wrapText="1"/>
    </xf>
    <xf numFmtId="166" fontId="57" fillId="7" borderId="6" xfId="0" applyNumberFormat="1" applyFont="1" applyFill="1" applyBorder="1" applyAlignment="1">
      <alignment horizontal="right" vertical="center" wrapText="1"/>
    </xf>
    <xf numFmtId="0" fontId="56" fillId="0" borderId="0" xfId="0" applyFont="1" applyAlignment="1">
      <alignment vertical="center"/>
    </xf>
    <xf numFmtId="0" fontId="53" fillId="7" borderId="6" xfId="0" applyFont="1" applyFill="1" applyBorder="1" applyAlignment="1">
      <alignment wrapText="1"/>
    </xf>
    <xf numFmtId="0" fontId="57" fillId="7" borderId="6" xfId="0" applyFont="1" applyFill="1" applyBorder="1" applyAlignment="1">
      <alignment horizontal="right" vertical="center" wrapText="1"/>
    </xf>
    <xf numFmtId="3" fontId="56" fillId="0" borderId="0" xfId="0" applyNumberFormat="1" applyFont="1" applyAlignment="1">
      <alignment horizontal="right" vertical="center" wrapText="1"/>
    </xf>
    <xf numFmtId="167" fontId="13" fillId="0" borderId="0" xfId="0" applyNumberFormat="1" applyFont="1"/>
    <xf numFmtId="0" fontId="56" fillId="0" borderId="22" xfId="0" applyFont="1" applyBorder="1"/>
    <xf numFmtId="3" fontId="56" fillId="0" borderId="22" xfId="0" applyNumberFormat="1" applyFont="1" applyBorder="1" applyAlignment="1">
      <alignment horizontal="right" vertical="center"/>
    </xf>
    <xf numFmtId="2" fontId="13" fillId="0" borderId="0" xfId="0" applyNumberFormat="1" applyFont="1"/>
    <xf numFmtId="0" fontId="12" fillId="0" borderId="0" xfId="0" applyFont="1" applyAlignment="1">
      <alignment horizontal="left" vertical="center" wrapText="1"/>
    </xf>
    <xf numFmtId="0" fontId="12" fillId="0" borderId="0" xfId="0" applyFont="1" applyAlignment="1">
      <alignment vertical="center"/>
    </xf>
    <xf numFmtId="165" fontId="13" fillId="0" borderId="0" xfId="0" applyNumberFormat="1" applyFont="1" applyAlignment="1">
      <alignment horizontal="left" vertical="top" wrapText="1"/>
    </xf>
    <xf numFmtId="0" fontId="13" fillId="0" borderId="0" xfId="0" applyFont="1" applyAlignment="1">
      <alignment horizontal="left" vertical="top" wrapText="1"/>
    </xf>
    <xf numFmtId="0" fontId="61" fillId="8" borderId="25" xfId="0" applyFont="1" applyFill="1" applyBorder="1"/>
    <xf numFmtId="0" fontId="61" fillId="9" borderId="6" xfId="0" applyFont="1" applyFill="1" applyBorder="1"/>
    <xf numFmtId="0" fontId="62" fillId="9" borderId="6" xfId="0" applyFont="1" applyFill="1" applyBorder="1"/>
    <xf numFmtId="0" fontId="61" fillId="0" borderId="0" xfId="0" applyFont="1"/>
    <xf numFmtId="0" fontId="49" fillId="3" borderId="20" xfId="0" applyFont="1" applyFill="1" applyBorder="1" applyAlignment="1">
      <alignment horizontal="left" wrapText="1"/>
    </xf>
    <xf numFmtId="0" fontId="64" fillId="0" borderId="0" xfId="0" applyFont="1" applyAlignment="1">
      <alignment wrapText="1"/>
    </xf>
    <xf numFmtId="0" fontId="65" fillId="0" borderId="0" xfId="0" applyFont="1" applyAlignment="1">
      <alignment horizontal="left" vertical="top" wrapText="1"/>
    </xf>
    <xf numFmtId="0" fontId="66" fillId="0" borderId="0" xfId="0" applyFont="1" applyAlignment="1">
      <alignment vertical="top"/>
    </xf>
    <xf numFmtId="164" fontId="66" fillId="0" borderId="0" xfId="0" applyNumberFormat="1" applyFont="1" applyAlignment="1">
      <alignment vertical="top"/>
    </xf>
    <xf numFmtId="0" fontId="13" fillId="0" borderId="0" xfId="0" applyFont="1" applyAlignment="1">
      <alignment vertical="top"/>
    </xf>
    <xf numFmtId="0" fontId="61" fillId="0" borderId="0" xfId="0" applyFont="1" applyAlignment="1">
      <alignment vertical="top"/>
    </xf>
    <xf numFmtId="0" fontId="45" fillId="0" borderId="0" xfId="0" applyFont="1" applyAlignment="1">
      <alignment vertical="top"/>
    </xf>
    <xf numFmtId="0" fontId="17" fillId="10" borderId="6" xfId="0" quotePrefix="1" applyFont="1" applyFill="1" applyBorder="1" applyAlignment="1">
      <alignment horizontal="left" vertical="top" wrapText="1"/>
    </xf>
    <xf numFmtId="0" fontId="67" fillId="10" borderId="6" xfId="0" applyFont="1" applyFill="1" applyBorder="1" applyAlignment="1">
      <alignment horizontal="left" vertical="top" wrapText="1"/>
    </xf>
    <xf numFmtId="164" fontId="23" fillId="10" borderId="6" xfId="0" applyNumberFormat="1" applyFont="1" applyFill="1" applyBorder="1" applyAlignment="1">
      <alignment horizontal="right" vertical="top" wrapText="1"/>
    </xf>
    <xf numFmtId="167" fontId="68" fillId="10" borderId="6" xfId="0" applyNumberFormat="1" applyFont="1" applyFill="1" applyBorder="1" applyAlignment="1">
      <alignment horizontal="right" vertical="top"/>
    </xf>
    <xf numFmtId="0" fontId="13" fillId="10" borderId="6" xfId="0" applyFont="1" applyFill="1" applyBorder="1" applyAlignment="1">
      <alignment vertical="top"/>
    </xf>
    <xf numFmtId="0" fontId="61" fillId="10" borderId="6" xfId="0" applyFont="1" applyFill="1" applyBorder="1" applyAlignment="1">
      <alignment vertical="top"/>
    </xf>
    <xf numFmtId="0" fontId="67" fillId="10" borderId="26" xfId="0" applyFont="1" applyFill="1" applyBorder="1" applyAlignment="1">
      <alignment vertical="top"/>
    </xf>
    <xf numFmtId="0" fontId="67" fillId="10" borderId="6" xfId="0" applyFont="1" applyFill="1" applyBorder="1" applyAlignment="1">
      <alignment vertical="top" wrapText="1"/>
    </xf>
    <xf numFmtId="0" fontId="67" fillId="0" borderId="0" xfId="0" quotePrefix="1" applyFont="1" applyAlignment="1">
      <alignment horizontal="left" vertical="top" wrapText="1"/>
    </xf>
    <xf numFmtId="0" fontId="67" fillId="0" borderId="0" xfId="0" applyFont="1" applyAlignment="1">
      <alignment horizontal="left" vertical="top" wrapText="1"/>
    </xf>
    <xf numFmtId="164" fontId="23" fillId="0" borderId="0" xfId="0" applyNumberFormat="1" applyFont="1" applyAlignment="1">
      <alignment horizontal="right" vertical="top" wrapText="1"/>
    </xf>
    <xf numFmtId="167" fontId="68" fillId="0" borderId="0" xfId="0" applyNumberFormat="1" applyFont="1" applyAlignment="1">
      <alignment horizontal="right" vertical="top"/>
    </xf>
    <xf numFmtId="0" fontId="67" fillId="0" borderId="26" xfId="0" applyFont="1" applyBorder="1" applyAlignment="1">
      <alignment vertical="top"/>
    </xf>
    <xf numFmtId="0" fontId="67" fillId="0" borderId="0" xfId="0" applyFont="1" applyAlignment="1">
      <alignment vertical="top" wrapText="1"/>
    </xf>
    <xf numFmtId="164" fontId="26" fillId="0" borderId="0" xfId="0" applyNumberFormat="1" applyFont="1" applyAlignment="1">
      <alignment horizontal="right" vertical="top" wrapText="1"/>
    </xf>
    <xf numFmtId="0" fontId="69" fillId="0" borderId="0" xfId="0" applyFont="1" applyAlignment="1">
      <alignment vertical="top"/>
    </xf>
    <xf numFmtId="0" fontId="67" fillId="10" borderId="0" xfId="0" applyFont="1" applyFill="1" applyAlignment="1">
      <alignment horizontal="left" vertical="top" wrapText="1"/>
    </xf>
    <xf numFmtId="165" fontId="23" fillId="0" borderId="27" xfId="0" applyNumberFormat="1" applyFont="1" applyBorder="1" applyAlignment="1">
      <alignment horizontal="right" vertical="top" wrapText="1"/>
    </xf>
    <xf numFmtId="0" fontId="67" fillId="0" borderId="0" xfId="0" applyFont="1" applyAlignment="1">
      <alignment vertical="top"/>
    </xf>
    <xf numFmtId="0" fontId="17" fillId="0" borderId="0" xfId="0" applyFont="1" applyAlignment="1">
      <alignment horizontal="left" vertical="top" wrapText="1"/>
    </xf>
    <xf numFmtId="164" fontId="70" fillId="0" borderId="0" xfId="0" applyNumberFormat="1" applyFont="1" applyAlignment="1">
      <alignment horizontal="right" vertical="top" wrapText="1"/>
    </xf>
    <xf numFmtId="165" fontId="70" fillId="0" borderId="0" xfId="0" applyNumberFormat="1" applyFont="1" applyAlignment="1">
      <alignment horizontal="right" vertical="top" wrapText="1"/>
    </xf>
    <xf numFmtId="167" fontId="71" fillId="0" borderId="0" xfId="0" applyNumberFormat="1" applyFont="1" applyAlignment="1">
      <alignment horizontal="right" vertical="top"/>
    </xf>
    <xf numFmtId="0" fontId="45" fillId="0" borderId="0" xfId="0" applyFont="1" applyAlignment="1">
      <alignment vertical="top" wrapText="1"/>
    </xf>
    <xf numFmtId="165" fontId="13" fillId="0" borderId="0" xfId="0" applyNumberFormat="1" applyFont="1" applyAlignment="1">
      <alignment vertical="top"/>
    </xf>
    <xf numFmtId="0" fontId="72" fillId="0" borderId="0" xfId="0" applyFont="1" applyAlignment="1">
      <alignment horizontal="left" vertical="top" wrapText="1"/>
    </xf>
    <xf numFmtId="165" fontId="33" fillId="0" borderId="0" xfId="0" applyNumberFormat="1" applyFont="1" applyAlignment="1">
      <alignment vertical="top"/>
    </xf>
    <xf numFmtId="0" fontId="73" fillId="11" borderId="6" xfId="0" quotePrefix="1" applyFont="1" applyFill="1" applyBorder="1" applyAlignment="1">
      <alignment horizontal="left" vertical="top" wrapText="1"/>
    </xf>
    <xf numFmtId="0" fontId="33" fillId="11" borderId="6" xfId="0" applyFont="1" applyFill="1" applyBorder="1" applyAlignment="1">
      <alignment horizontal="left" vertical="top" wrapText="1"/>
    </xf>
    <xf numFmtId="164" fontId="33" fillId="11" borderId="6" xfId="0" applyNumberFormat="1" applyFont="1" applyFill="1" applyBorder="1" applyAlignment="1">
      <alignment horizontal="right" vertical="top" wrapText="1"/>
    </xf>
    <xf numFmtId="165" fontId="33" fillId="11" borderId="6" xfId="0" applyNumberFormat="1" applyFont="1" applyFill="1" applyBorder="1" applyAlignment="1">
      <alignment horizontal="right" vertical="top" wrapText="1"/>
    </xf>
    <xf numFmtId="167" fontId="35" fillId="11" borderId="6" xfId="0" applyNumberFormat="1" applyFont="1" applyFill="1" applyBorder="1" applyAlignment="1">
      <alignment horizontal="right" vertical="top"/>
    </xf>
    <xf numFmtId="0" fontId="13" fillId="11" borderId="6" xfId="0" applyFont="1" applyFill="1" applyBorder="1" applyAlignment="1">
      <alignment vertical="top"/>
    </xf>
    <xf numFmtId="0" fontId="61" fillId="11" borderId="6" xfId="0" applyFont="1" applyFill="1" applyBorder="1" applyAlignment="1">
      <alignment vertical="top"/>
    </xf>
    <xf numFmtId="0" fontId="33" fillId="11" borderId="26" xfId="0" applyFont="1" applyFill="1" applyBorder="1" applyAlignment="1">
      <alignment vertical="top"/>
    </xf>
    <xf numFmtId="0" fontId="33" fillId="11" borderId="6" xfId="0" applyFont="1" applyFill="1" applyBorder="1" applyAlignment="1">
      <alignment vertical="top" wrapText="1"/>
    </xf>
    <xf numFmtId="0" fontId="33" fillId="0" borderId="0" xfId="0" quotePrefix="1" applyFont="1" applyAlignment="1">
      <alignment horizontal="left" vertical="top" wrapText="1"/>
    </xf>
    <xf numFmtId="0" fontId="33" fillId="0" borderId="0" xfId="0" applyFont="1" applyAlignment="1">
      <alignment horizontal="left" vertical="top" wrapText="1"/>
    </xf>
    <xf numFmtId="164" fontId="33" fillId="0" borderId="0" xfId="0" applyNumberFormat="1" applyFont="1" applyAlignment="1">
      <alignment horizontal="right" vertical="top" wrapText="1"/>
    </xf>
    <xf numFmtId="165" fontId="33" fillId="0" borderId="0" xfId="0" applyNumberFormat="1" applyFont="1" applyAlignment="1">
      <alignment horizontal="right" vertical="top" wrapText="1"/>
    </xf>
    <xf numFmtId="167" fontId="35" fillId="0" borderId="0" xfId="0" applyNumberFormat="1" applyFont="1" applyAlignment="1">
      <alignment horizontal="right" vertical="top"/>
    </xf>
    <xf numFmtId="0" fontId="33" fillId="0" borderId="26" xfId="0" applyFont="1" applyBorder="1" applyAlignment="1">
      <alignment vertical="top"/>
    </xf>
    <xf numFmtId="0" fontId="33" fillId="0" borderId="0" xfId="0" applyFont="1" applyAlignment="1">
      <alignment vertical="top" wrapText="1"/>
    </xf>
    <xf numFmtId="1" fontId="33" fillId="0" borderId="0" xfId="0" applyNumberFormat="1" applyFont="1" applyAlignment="1">
      <alignment horizontal="right" vertical="top" wrapText="1"/>
    </xf>
    <xf numFmtId="0" fontId="73" fillId="11" borderId="6" xfId="0" applyFont="1" applyFill="1" applyBorder="1" applyAlignment="1">
      <alignment horizontal="left" vertical="top" wrapText="1"/>
    </xf>
    <xf numFmtId="0" fontId="33" fillId="0" borderId="0" xfId="0" applyFont="1" applyAlignment="1">
      <alignment vertical="top"/>
    </xf>
    <xf numFmtId="0" fontId="73" fillId="0" borderId="0" xfId="0" applyFont="1" applyAlignment="1">
      <alignment horizontal="left" vertical="top" wrapText="1"/>
    </xf>
    <xf numFmtId="164" fontId="73" fillId="0" borderId="0" xfId="0" applyNumberFormat="1" applyFont="1" applyAlignment="1">
      <alignment horizontal="right" vertical="top" wrapText="1"/>
    </xf>
    <xf numFmtId="165" fontId="73" fillId="0" borderId="16" xfId="0" applyNumberFormat="1" applyFont="1" applyBorder="1" applyAlignment="1">
      <alignment horizontal="right" vertical="top" wrapText="1"/>
    </xf>
    <xf numFmtId="168" fontId="74" fillId="0" borderId="0" xfId="0" quotePrefix="1" applyNumberFormat="1" applyFont="1" applyAlignment="1">
      <alignment vertical="top" wrapText="1"/>
    </xf>
    <xf numFmtId="168" fontId="74" fillId="0" borderId="0" xfId="0" applyNumberFormat="1" applyFont="1" applyAlignment="1">
      <alignment vertical="top" wrapText="1"/>
    </xf>
    <xf numFmtId="0" fontId="46" fillId="0" borderId="0" xfId="0" applyFont="1" applyAlignment="1">
      <alignment vertical="top"/>
    </xf>
    <xf numFmtId="165" fontId="46" fillId="0" borderId="0" xfId="0" applyNumberFormat="1" applyFont="1" applyAlignment="1">
      <alignment vertical="top"/>
    </xf>
    <xf numFmtId="168" fontId="75" fillId="0" borderId="0" xfId="0" applyNumberFormat="1" applyFont="1" applyAlignment="1">
      <alignment vertical="top" wrapText="1"/>
    </xf>
    <xf numFmtId="165" fontId="76" fillId="0" borderId="0" xfId="0" applyNumberFormat="1" applyFont="1" applyAlignment="1">
      <alignment horizontal="right" vertical="top"/>
    </xf>
    <xf numFmtId="165" fontId="77" fillId="0" borderId="0" xfId="0" applyNumberFormat="1" applyFont="1" applyAlignment="1">
      <alignment horizontal="right" vertical="top" wrapText="1"/>
    </xf>
    <xf numFmtId="0" fontId="75" fillId="12" borderId="26" xfId="0" applyFont="1" applyFill="1" applyBorder="1" applyAlignment="1">
      <alignment vertical="top" wrapText="1"/>
    </xf>
    <xf numFmtId="165" fontId="78" fillId="0" borderId="0" xfId="0" applyNumberFormat="1" applyFont="1" applyAlignment="1">
      <alignment horizontal="left" vertical="top" wrapText="1"/>
    </xf>
    <xf numFmtId="165" fontId="78" fillId="0" borderId="17" xfId="0" applyNumberFormat="1" applyFont="1" applyBorder="1" applyAlignment="1">
      <alignment horizontal="right" vertical="top" wrapText="1"/>
    </xf>
    <xf numFmtId="165" fontId="78" fillId="0" borderId="0" xfId="0" applyNumberFormat="1" applyFont="1" applyAlignment="1">
      <alignment horizontal="right" vertical="top" wrapText="1"/>
    </xf>
    <xf numFmtId="165" fontId="75" fillId="0" borderId="0" xfId="0" applyNumberFormat="1" applyFont="1" applyAlignment="1">
      <alignment horizontal="right" vertical="top"/>
    </xf>
    <xf numFmtId="0" fontId="75" fillId="12" borderId="26" xfId="0" applyFont="1" applyFill="1" applyBorder="1" applyAlignment="1">
      <alignment vertical="top"/>
    </xf>
    <xf numFmtId="0" fontId="79" fillId="0" borderId="0" xfId="0" applyFont="1"/>
    <xf numFmtId="165" fontId="79" fillId="0" borderId="0" xfId="0" applyNumberFormat="1" applyFont="1"/>
    <xf numFmtId="0" fontId="45" fillId="0" borderId="0" xfId="0" applyFont="1"/>
    <xf numFmtId="0" fontId="74" fillId="3" borderId="28" xfId="0" applyFont="1" applyFill="1" applyBorder="1" applyAlignment="1">
      <alignment horizontal="left" wrapText="1"/>
    </xf>
    <xf numFmtId="165" fontId="74" fillId="3" borderId="28" xfId="0" applyNumberFormat="1" applyFont="1" applyFill="1" applyBorder="1"/>
    <xf numFmtId="165" fontId="74" fillId="3" borderId="28" xfId="0" applyNumberFormat="1" applyFont="1" applyFill="1" applyBorder="1" applyAlignment="1">
      <alignment wrapText="1"/>
    </xf>
    <xf numFmtId="0" fontId="46" fillId="3" borderId="28" xfId="0" applyFont="1" applyFill="1" applyBorder="1"/>
    <xf numFmtId="0" fontId="1" fillId="0" borderId="0" xfId="0" applyFont="1" applyAlignment="1">
      <alignment wrapText="1"/>
    </xf>
    <xf numFmtId="164" fontId="1" fillId="0" borderId="0" xfId="0" applyNumberFormat="1" applyFont="1"/>
    <xf numFmtId="168" fontId="80" fillId="0" borderId="0" xfId="0" applyNumberFormat="1" applyFont="1" applyAlignment="1">
      <alignment vertical="top" wrapText="1"/>
    </xf>
    <xf numFmtId="0" fontId="74" fillId="3" borderId="6" xfId="0" applyFont="1" applyFill="1" applyBorder="1" applyAlignment="1">
      <alignment horizontal="left" wrapText="1"/>
    </xf>
    <xf numFmtId="170" fontId="76" fillId="0" borderId="0" xfId="0" applyNumberFormat="1" applyFont="1" applyAlignment="1">
      <alignment horizontal="right" vertical="top"/>
    </xf>
    <xf numFmtId="170" fontId="81" fillId="0" borderId="0" xfId="0" applyNumberFormat="1" applyFont="1" applyAlignment="1">
      <alignment horizontal="right" vertical="top"/>
    </xf>
    <xf numFmtId="168" fontId="47" fillId="3" borderId="30" xfId="0" applyNumberFormat="1" applyFont="1" applyFill="1" applyBorder="1" applyAlignment="1">
      <alignment wrapText="1"/>
    </xf>
    <xf numFmtId="0" fontId="74" fillId="3" borderId="30" xfId="0" applyFont="1" applyFill="1" applyBorder="1" applyAlignment="1">
      <alignment horizontal="left" wrapText="1"/>
    </xf>
    <xf numFmtId="165" fontId="47" fillId="3" borderId="30" xfId="0" applyNumberFormat="1" applyFont="1" applyFill="1" applyBorder="1" applyAlignment="1">
      <alignment wrapText="1"/>
    </xf>
    <xf numFmtId="165" fontId="46" fillId="3" borderId="6" xfId="0" applyNumberFormat="1" applyFont="1" applyFill="1" applyBorder="1" applyAlignment="1">
      <alignment wrapText="1"/>
    </xf>
    <xf numFmtId="168" fontId="46" fillId="3" borderId="6" xfId="0" applyNumberFormat="1" applyFont="1" applyFill="1" applyBorder="1" applyAlignment="1">
      <alignment wrapText="1"/>
    </xf>
    <xf numFmtId="0" fontId="46" fillId="3" borderId="6" xfId="0" applyFont="1" applyFill="1" applyBorder="1"/>
    <xf numFmtId="0" fontId="75" fillId="0" borderId="0" xfId="0" applyFont="1" applyAlignment="1">
      <alignment vertical="top"/>
    </xf>
    <xf numFmtId="0" fontId="82" fillId="0" borderId="0" xfId="0" applyFont="1" applyAlignment="1">
      <alignment horizontal="left" wrapText="1"/>
    </xf>
    <xf numFmtId="165" fontId="82" fillId="0" borderId="0" xfId="0" applyNumberFormat="1" applyFont="1" applyAlignment="1">
      <alignment horizontal="right" wrapText="1"/>
    </xf>
    <xf numFmtId="0" fontId="71" fillId="0" borderId="0" xfId="0" applyFont="1" applyAlignment="1">
      <alignment horizontal="left" wrapText="1"/>
    </xf>
    <xf numFmtId="164" fontId="71" fillId="0" borderId="0" xfId="0" applyNumberFormat="1" applyFont="1" applyAlignment="1">
      <alignment horizontal="right" wrapText="1"/>
    </xf>
    <xf numFmtId="0" fontId="83" fillId="13" borderId="32" xfId="0" applyFont="1" applyFill="1" applyBorder="1" applyAlignment="1">
      <alignment horizontal="left" wrapText="1"/>
    </xf>
    <xf numFmtId="165" fontId="83" fillId="13" borderId="32" xfId="0" applyNumberFormat="1" applyFont="1" applyFill="1" applyBorder="1" applyAlignment="1">
      <alignment horizontal="right" wrapText="1"/>
    </xf>
    <xf numFmtId="164" fontId="67" fillId="13" borderId="32" xfId="0" applyNumberFormat="1" applyFont="1" applyFill="1" applyBorder="1" applyAlignment="1">
      <alignment horizontal="right" wrapText="1"/>
    </xf>
    <xf numFmtId="0" fontId="83" fillId="13" borderId="6" xfId="0" applyFont="1" applyFill="1" applyBorder="1" applyAlignment="1">
      <alignment horizontal="left" wrapText="1"/>
    </xf>
    <xf numFmtId="165" fontId="83" fillId="13" borderId="6" xfId="0" applyNumberFormat="1" applyFont="1" applyFill="1" applyBorder="1" applyAlignment="1">
      <alignment horizontal="right" wrapText="1"/>
    </xf>
    <xf numFmtId="164" fontId="67" fillId="13" borderId="6" xfId="0" applyNumberFormat="1" applyFont="1" applyFill="1" applyBorder="1" applyAlignment="1">
      <alignment horizontal="right" wrapText="1"/>
    </xf>
    <xf numFmtId="165" fontId="83" fillId="13" borderId="33" xfId="0" applyNumberFormat="1" applyFont="1" applyFill="1" applyBorder="1" applyAlignment="1">
      <alignment horizontal="right" wrapText="1"/>
    </xf>
    <xf numFmtId="165" fontId="83" fillId="13" borderId="34" xfId="0" applyNumberFormat="1" applyFont="1" applyFill="1" applyBorder="1" applyAlignment="1">
      <alignment horizontal="right" wrapText="1"/>
    </xf>
    <xf numFmtId="164" fontId="67" fillId="13" borderId="33" xfId="0" applyNumberFormat="1" applyFont="1" applyFill="1" applyBorder="1" applyAlignment="1">
      <alignment horizontal="right" wrapText="1"/>
    </xf>
    <xf numFmtId="0" fontId="82" fillId="13" borderId="6" xfId="0" applyFont="1" applyFill="1" applyBorder="1" applyAlignment="1">
      <alignment horizontal="left" wrapText="1"/>
    </xf>
    <xf numFmtId="165" fontId="82" fillId="13" borderId="6" xfId="0" applyNumberFormat="1" applyFont="1" applyFill="1" applyBorder="1" applyAlignment="1">
      <alignment horizontal="right" wrapText="1"/>
    </xf>
    <xf numFmtId="165" fontId="17" fillId="13" borderId="6" xfId="0" applyNumberFormat="1" applyFont="1" applyFill="1" applyBorder="1" applyAlignment="1">
      <alignment horizontal="right" wrapText="1"/>
    </xf>
    <xf numFmtId="0" fontId="71" fillId="13" borderId="6" xfId="0" applyFont="1" applyFill="1" applyBorder="1" applyAlignment="1">
      <alignment horizontal="left" wrapText="1"/>
    </xf>
    <xf numFmtId="164" fontId="71" fillId="13" borderId="6" xfId="0" applyNumberFormat="1" applyFont="1" applyFill="1" applyBorder="1" applyAlignment="1">
      <alignment horizontal="right" wrapText="1"/>
    </xf>
    <xf numFmtId="0" fontId="66" fillId="13" borderId="6" xfId="0" applyFont="1" applyFill="1" applyBorder="1" applyAlignment="1">
      <alignment horizontal="left" wrapText="1"/>
    </xf>
    <xf numFmtId="165" fontId="66" fillId="13" borderId="6" xfId="0" applyNumberFormat="1" applyFont="1" applyFill="1" applyBorder="1" applyAlignment="1">
      <alignment horizontal="right" wrapText="1"/>
    </xf>
    <xf numFmtId="165" fontId="67" fillId="13" borderId="6" xfId="0" applyNumberFormat="1" applyFont="1" applyFill="1" applyBorder="1" applyAlignment="1">
      <alignment horizontal="right" wrapText="1"/>
    </xf>
    <xf numFmtId="0" fontId="68" fillId="13" borderId="35" xfId="0" applyFont="1" applyFill="1" applyBorder="1" applyAlignment="1">
      <alignment horizontal="left" wrapText="1"/>
    </xf>
    <xf numFmtId="164" fontId="68" fillId="13" borderId="35" xfId="0" applyNumberFormat="1" applyFont="1" applyFill="1" applyBorder="1" applyAlignment="1">
      <alignment horizontal="right" wrapText="1"/>
    </xf>
    <xf numFmtId="165" fontId="32" fillId="0" borderId="0" xfId="0" applyNumberFormat="1" applyFont="1" applyAlignment="1">
      <alignment horizontal="right" wrapText="1"/>
    </xf>
    <xf numFmtId="0" fontId="84" fillId="14" borderId="36" xfId="0" applyFont="1" applyFill="1" applyBorder="1" applyAlignment="1">
      <alignment horizontal="left" wrapText="1"/>
    </xf>
    <xf numFmtId="165" fontId="84" fillId="14" borderId="36" xfId="0" applyNumberFormat="1" applyFont="1" applyFill="1" applyBorder="1" applyAlignment="1">
      <alignment horizontal="right"/>
    </xf>
    <xf numFmtId="164" fontId="84" fillId="14" borderId="36" xfId="0" applyNumberFormat="1" applyFont="1" applyFill="1" applyBorder="1" applyAlignment="1">
      <alignment horizontal="right" wrapText="1"/>
    </xf>
    <xf numFmtId="0" fontId="35" fillId="14" borderId="6" xfId="0" applyFont="1" applyFill="1" applyBorder="1" applyAlignment="1">
      <alignment horizontal="left" wrapText="1"/>
    </xf>
    <xf numFmtId="164" fontId="35" fillId="14" borderId="6" xfId="0" applyNumberFormat="1" applyFont="1" applyFill="1" applyBorder="1" applyAlignment="1">
      <alignment horizontal="right" wrapText="1"/>
    </xf>
    <xf numFmtId="164" fontId="37" fillId="14" borderId="6" xfId="0" applyNumberFormat="1" applyFont="1" applyFill="1" applyBorder="1" applyAlignment="1">
      <alignment horizontal="right" wrapText="1"/>
    </xf>
    <xf numFmtId="164" fontId="84" fillId="14" borderId="6" xfId="0" applyNumberFormat="1" applyFont="1" applyFill="1" applyBorder="1" applyAlignment="1">
      <alignment horizontal="right" wrapText="1"/>
    </xf>
    <xf numFmtId="0" fontId="84" fillId="14" borderId="6" xfId="0" applyFont="1" applyFill="1" applyBorder="1" applyAlignment="1">
      <alignment horizontal="left" wrapText="1"/>
    </xf>
    <xf numFmtId="165" fontId="84" fillId="14" borderId="6" xfId="0" applyNumberFormat="1" applyFont="1" applyFill="1" applyBorder="1" applyAlignment="1">
      <alignment horizontal="right"/>
    </xf>
    <xf numFmtId="164" fontId="39" fillId="0" borderId="0" xfId="0" applyNumberFormat="1" applyFont="1" applyAlignment="1">
      <alignment horizontal="right" wrapText="1"/>
    </xf>
    <xf numFmtId="0" fontId="33" fillId="14" borderId="6" xfId="0" applyFont="1" applyFill="1" applyBorder="1" applyAlignment="1">
      <alignment horizontal="left" wrapText="1"/>
    </xf>
    <xf numFmtId="0" fontId="37" fillId="14" borderId="6" xfId="0" applyFont="1" applyFill="1" applyBorder="1" applyAlignment="1">
      <alignment horizontal="left" wrapText="1"/>
    </xf>
    <xf numFmtId="165" fontId="37" fillId="14" borderId="37" xfId="0" applyNumberFormat="1" applyFont="1" applyFill="1" applyBorder="1" applyAlignment="1">
      <alignment horizontal="right" wrapText="1"/>
    </xf>
    <xf numFmtId="165" fontId="37" fillId="14" borderId="6" xfId="0" applyNumberFormat="1" applyFont="1" applyFill="1" applyBorder="1" applyAlignment="1">
      <alignment horizontal="right"/>
    </xf>
    <xf numFmtId="165" fontId="33" fillId="14" borderId="6" xfId="0" applyNumberFormat="1" applyFont="1" applyFill="1" applyBorder="1" applyAlignment="1">
      <alignment horizontal="right"/>
    </xf>
    <xf numFmtId="0" fontId="35" fillId="14" borderId="38" xfId="0" applyFont="1" applyFill="1" applyBorder="1" applyAlignment="1">
      <alignment horizontal="left" wrapText="1"/>
    </xf>
    <xf numFmtId="169" fontId="35" fillId="14" borderId="38" xfId="0" applyNumberFormat="1" applyFont="1" applyFill="1" applyBorder="1" applyAlignment="1">
      <alignment horizontal="right" wrapText="1"/>
    </xf>
    <xf numFmtId="165" fontId="46" fillId="0" borderId="0" xfId="0" applyNumberFormat="1" applyFont="1" applyAlignment="1">
      <alignment horizontal="right" wrapText="1"/>
    </xf>
    <xf numFmtId="164" fontId="85" fillId="0" borderId="39" xfId="0" applyNumberFormat="1" applyFont="1" applyBorder="1" applyAlignment="1">
      <alignment horizontal="left" wrapText="1"/>
    </xf>
    <xf numFmtId="165" fontId="85" fillId="0" borderId="39" xfId="0" applyNumberFormat="1" applyFont="1" applyBorder="1" applyAlignment="1">
      <alignment horizontal="right" wrapText="1"/>
    </xf>
    <xf numFmtId="168" fontId="47" fillId="0" borderId="0" xfId="0" applyNumberFormat="1" applyFont="1" applyAlignment="1">
      <alignment wrapText="1"/>
    </xf>
    <xf numFmtId="165" fontId="47" fillId="0" borderId="0" xfId="0" applyNumberFormat="1" applyFont="1" applyAlignment="1">
      <alignment wrapText="1"/>
    </xf>
    <xf numFmtId="164" fontId="47" fillId="0" borderId="0" xfId="0" applyNumberFormat="1" applyFont="1" applyAlignment="1">
      <alignment wrapText="1"/>
    </xf>
    <xf numFmtId="165" fontId="46" fillId="0" borderId="0" xfId="0" applyNumberFormat="1" applyFont="1" applyAlignment="1">
      <alignment horizontal="right" vertical="center" wrapText="1"/>
    </xf>
    <xf numFmtId="168" fontId="47" fillId="3" borderId="28" xfId="0" applyNumberFormat="1" applyFont="1" applyFill="1" applyBorder="1" applyAlignment="1">
      <alignment wrapText="1"/>
    </xf>
    <xf numFmtId="165" fontId="47" fillId="3" borderId="28" xfId="0" applyNumberFormat="1" applyFont="1" applyFill="1" applyBorder="1" applyAlignment="1">
      <alignment wrapText="1"/>
    </xf>
    <xf numFmtId="0" fontId="14" fillId="0" borderId="0" xfId="0" applyFont="1"/>
    <xf numFmtId="165" fontId="14" fillId="0" borderId="0" xfId="0" applyNumberFormat="1" applyFont="1" applyAlignment="1">
      <alignment horizontal="right"/>
    </xf>
    <xf numFmtId="168" fontId="63" fillId="3" borderId="6" xfId="0" applyNumberFormat="1" applyFont="1" applyFill="1" applyBorder="1" applyAlignment="1">
      <alignment wrapText="1"/>
    </xf>
    <xf numFmtId="165" fontId="63" fillId="3" borderId="6" xfId="0" applyNumberFormat="1" applyFont="1" applyFill="1" applyBorder="1" applyAlignment="1">
      <alignment wrapText="1"/>
    </xf>
    <xf numFmtId="164" fontId="86" fillId="3" borderId="6" xfId="0" applyNumberFormat="1" applyFont="1" applyFill="1" applyBorder="1" applyAlignment="1">
      <alignment wrapText="1"/>
    </xf>
    <xf numFmtId="0" fontId="14" fillId="0" borderId="0" xfId="0" applyFont="1" applyAlignment="1">
      <alignment wrapText="1"/>
    </xf>
    <xf numFmtId="168" fontId="47" fillId="3" borderId="6" xfId="0" applyNumberFormat="1" applyFont="1" applyFill="1" applyBorder="1" applyAlignment="1">
      <alignment wrapText="1"/>
    </xf>
    <xf numFmtId="165" fontId="47" fillId="3" borderId="6" xfId="0" applyNumberFormat="1" applyFont="1" applyFill="1" applyBorder="1" applyAlignment="1">
      <alignment wrapText="1"/>
    </xf>
    <xf numFmtId="168" fontId="87" fillId="3" borderId="18" xfId="0" applyNumberFormat="1" applyFont="1" applyFill="1" applyBorder="1" applyAlignment="1">
      <alignment wrapText="1"/>
    </xf>
    <xf numFmtId="164" fontId="87" fillId="3" borderId="18" xfId="0" applyNumberFormat="1" applyFont="1" applyFill="1" applyBorder="1" applyAlignment="1">
      <alignment wrapText="1"/>
    </xf>
    <xf numFmtId="168" fontId="88" fillId="0" borderId="0" xfId="0" applyNumberFormat="1" applyFont="1" applyAlignment="1">
      <alignment wrapText="1"/>
    </xf>
    <xf numFmtId="164" fontId="88" fillId="0" borderId="0" xfId="0" applyNumberFormat="1" applyFont="1" applyAlignment="1">
      <alignment wrapText="1"/>
    </xf>
    <xf numFmtId="165" fontId="67" fillId="13" borderId="32" xfId="0" applyNumberFormat="1" applyFont="1" applyFill="1" applyBorder="1" applyAlignment="1">
      <alignment horizontal="right" wrapText="1"/>
    </xf>
    <xf numFmtId="164" fontId="68" fillId="13" borderId="6" xfId="0" applyNumberFormat="1" applyFont="1" applyFill="1" applyBorder="1" applyAlignment="1">
      <alignment horizontal="right" wrapText="1"/>
    </xf>
    <xf numFmtId="164" fontId="68" fillId="13" borderId="33" xfId="0" applyNumberFormat="1" applyFont="1" applyFill="1" applyBorder="1" applyAlignment="1">
      <alignment horizontal="right" wrapText="1"/>
    </xf>
    <xf numFmtId="0" fontId="68" fillId="13" borderId="6" xfId="0" applyFont="1" applyFill="1" applyBorder="1" applyAlignment="1">
      <alignment horizontal="left" wrapText="1"/>
    </xf>
    <xf numFmtId="165" fontId="73" fillId="0" borderId="0" xfId="0" applyNumberFormat="1" applyFont="1" applyAlignment="1">
      <alignment horizontal="right" wrapText="1"/>
    </xf>
    <xf numFmtId="164" fontId="33" fillId="14" borderId="36" xfId="0" applyNumberFormat="1" applyFont="1" applyFill="1" applyBorder="1" applyAlignment="1">
      <alignment horizontal="right" wrapText="1"/>
    </xf>
    <xf numFmtId="164" fontId="33" fillId="14" borderId="6" xfId="0" applyNumberFormat="1" applyFont="1" applyFill="1" applyBorder="1" applyAlignment="1">
      <alignment horizontal="right" wrapText="1"/>
    </xf>
    <xf numFmtId="165" fontId="33" fillId="14" borderId="37" xfId="0" applyNumberFormat="1" applyFont="1" applyFill="1" applyBorder="1" applyAlignment="1">
      <alignment horizontal="right" wrapText="1"/>
    </xf>
    <xf numFmtId="164" fontId="35" fillId="14" borderId="34" xfId="0" applyNumberFormat="1" applyFont="1" applyFill="1" applyBorder="1" applyAlignment="1">
      <alignment horizontal="right" wrapText="1"/>
    </xf>
    <xf numFmtId="171" fontId="13" fillId="0" borderId="0" xfId="0" applyNumberFormat="1" applyFont="1"/>
    <xf numFmtId="168" fontId="46" fillId="0" borderId="0" xfId="0" applyNumberFormat="1" applyFont="1" applyAlignment="1">
      <alignment horizontal="left" wrapText="1"/>
    </xf>
    <xf numFmtId="168" fontId="89" fillId="0" borderId="0" xfId="0" applyNumberFormat="1" applyFont="1" applyAlignment="1">
      <alignment wrapText="1"/>
    </xf>
    <xf numFmtId="165" fontId="49" fillId="3" borderId="28" xfId="0" applyNumberFormat="1" applyFont="1" applyFill="1" applyBorder="1" applyAlignment="1">
      <alignment wrapText="1"/>
    </xf>
    <xf numFmtId="0" fontId="61" fillId="15" borderId="6" xfId="0" applyFont="1" applyFill="1" applyBorder="1"/>
    <xf numFmtId="0" fontId="13" fillId="16" borderId="6" xfId="0" applyFont="1" applyFill="1" applyBorder="1"/>
    <xf numFmtId="0" fontId="90" fillId="0" borderId="0" xfId="0" applyFont="1"/>
    <xf numFmtId="170" fontId="1" fillId="0" borderId="0" xfId="0" applyNumberFormat="1" applyFont="1"/>
    <xf numFmtId="0" fontId="49" fillId="3" borderId="20" xfId="0" applyFont="1" applyFill="1" applyBorder="1" applyAlignment="1">
      <alignment horizontal="left" vertical="center" wrapText="1"/>
    </xf>
    <xf numFmtId="0" fontId="91" fillId="0" borderId="0" xfId="0" applyFont="1"/>
    <xf numFmtId="165" fontId="91" fillId="0" borderId="0" xfId="0" applyNumberFormat="1" applyFont="1"/>
    <xf numFmtId="0" fontId="92" fillId="0" borderId="0" xfId="0" applyFont="1" applyAlignment="1">
      <alignment horizontal="right"/>
    </xf>
    <xf numFmtId="0" fontId="49" fillId="3" borderId="20" xfId="0" quotePrefix="1" applyFont="1" applyFill="1" applyBorder="1" applyAlignment="1">
      <alignment horizontal="left" wrapText="1"/>
    </xf>
    <xf numFmtId="164" fontId="85" fillId="17" borderId="39" xfId="0" applyNumberFormat="1" applyFont="1" applyFill="1" applyBorder="1" applyAlignment="1">
      <alignment horizontal="left" wrapText="1"/>
    </xf>
    <xf numFmtId="165" fontId="91" fillId="17" borderId="40" xfId="0" applyNumberFormat="1" applyFont="1" applyFill="1" applyBorder="1"/>
    <xf numFmtId="168" fontId="43" fillId="17" borderId="41" xfId="0" applyNumberFormat="1" applyFont="1" applyFill="1" applyBorder="1" applyAlignment="1">
      <alignment wrapText="1"/>
    </xf>
    <xf numFmtId="168" fontId="47" fillId="17" borderId="42" xfId="0" applyNumberFormat="1" applyFont="1" applyFill="1" applyBorder="1" applyAlignment="1">
      <alignment wrapText="1"/>
    </xf>
    <xf numFmtId="165" fontId="91" fillId="17" borderId="43" xfId="0" applyNumberFormat="1" applyFont="1" applyFill="1" applyBorder="1"/>
    <xf numFmtId="165" fontId="91" fillId="17" borderId="44" xfId="0" applyNumberFormat="1" applyFont="1" applyFill="1" applyBorder="1"/>
    <xf numFmtId="0" fontId="1" fillId="0" borderId="1" xfId="0" applyFont="1" applyBorder="1"/>
    <xf numFmtId="0" fontId="2" fillId="0" borderId="2" xfId="0" applyFont="1" applyBorder="1"/>
    <xf numFmtId="0" fontId="3" fillId="2" borderId="3" xfId="0" applyFont="1" applyFill="1" applyBorder="1" applyAlignment="1">
      <alignment horizontal="left" vertical="center"/>
    </xf>
    <xf numFmtId="0" fontId="2" fillId="0" borderId="4" xfId="0" applyFont="1" applyBorder="1"/>
    <xf numFmtId="0" fontId="5" fillId="0" borderId="0" xfId="0" applyFont="1"/>
    <xf numFmtId="0" fontId="0" fillId="0" borderId="0" xfId="0"/>
    <xf numFmtId="0" fontId="4" fillId="0" borderId="0" xfId="0" applyFont="1"/>
    <xf numFmtId="0" fontId="6" fillId="0" borderId="0" xfId="0" applyFont="1"/>
    <xf numFmtId="0" fontId="7" fillId="0" borderId="0" xfId="0" applyFont="1"/>
    <xf numFmtId="0" fontId="9" fillId="3" borderId="7" xfId="0" applyFont="1" applyFill="1" applyBorder="1"/>
    <xf numFmtId="0" fontId="2" fillId="0" borderId="8" xfId="0" applyFont="1" applyBorder="1"/>
    <xf numFmtId="0" fontId="10" fillId="3" borderId="7" xfId="0" applyFont="1" applyFill="1" applyBorder="1" applyAlignment="1">
      <alignment wrapText="1"/>
    </xf>
    <xf numFmtId="0" fontId="1" fillId="0" borderId="0" xfId="0" applyFont="1"/>
    <xf numFmtId="0" fontId="11" fillId="0" borderId="0" xfId="0" applyFont="1" applyAlignment="1">
      <alignment vertical="top" wrapText="1"/>
    </xf>
    <xf numFmtId="0" fontId="6" fillId="0" borderId="0" xfId="0" applyFont="1" applyAlignment="1">
      <alignment wrapText="1"/>
    </xf>
    <xf numFmtId="168" fontId="48" fillId="0" borderId="19" xfId="0" applyNumberFormat="1" applyFont="1" applyBorder="1" applyAlignment="1">
      <alignment horizontal="left" vertical="top" wrapText="1"/>
    </xf>
    <xf numFmtId="0" fontId="2" fillId="0" borderId="19" xfId="0" applyFont="1" applyBorder="1"/>
    <xf numFmtId="0" fontId="16" fillId="0" borderId="0" xfId="0" applyFont="1" applyAlignment="1">
      <alignment horizontal="left" wrapText="1"/>
    </xf>
    <xf numFmtId="0" fontId="14" fillId="0" borderId="0" xfId="0" applyFont="1" applyAlignment="1">
      <alignment horizontal="left" wrapText="1"/>
    </xf>
    <xf numFmtId="0" fontId="12" fillId="2" borderId="9" xfId="0" applyFont="1" applyFill="1" applyBorder="1" applyAlignment="1">
      <alignment horizontal="left" vertical="center" wrapText="1"/>
    </xf>
    <xf numFmtId="0" fontId="2" fillId="0" borderId="10" xfId="0" applyFont="1" applyBorder="1"/>
    <xf numFmtId="0" fontId="2" fillId="0" borderId="11" xfId="0" applyFont="1" applyBorder="1"/>
    <xf numFmtId="0" fontId="14" fillId="0" borderId="0" xfId="0" applyFont="1" applyAlignment="1">
      <alignment vertical="top"/>
    </xf>
    <xf numFmtId="0" fontId="13" fillId="0" borderId="0" xfId="0" applyFont="1" applyAlignment="1">
      <alignment horizontal="left" wrapText="1"/>
    </xf>
    <xf numFmtId="168" fontId="45" fillId="0" borderId="19" xfId="0" applyNumberFormat="1" applyFont="1" applyBorder="1" applyAlignment="1">
      <alignment horizontal="left" vertical="top" wrapText="1"/>
    </xf>
    <xf numFmtId="168" fontId="51" fillId="0" borderId="0" xfId="0" applyNumberFormat="1" applyFont="1" applyAlignment="1">
      <alignment horizontal="left" vertical="top" wrapText="1"/>
    </xf>
    <xf numFmtId="0" fontId="52" fillId="0" borderId="0" xfId="0" applyFont="1" applyAlignment="1">
      <alignment horizontal="left" wrapText="1"/>
    </xf>
    <xf numFmtId="0" fontId="53" fillId="0" borderId="0" xfId="0" applyFont="1" applyAlignment="1">
      <alignment horizontal="left" wrapText="1"/>
    </xf>
    <xf numFmtId="0" fontId="58" fillId="0" borderId="0" xfId="0" applyFont="1" applyAlignment="1">
      <alignment horizontal="left" vertical="top" wrapText="1"/>
    </xf>
    <xf numFmtId="0" fontId="59" fillId="5" borderId="23" xfId="0" applyFont="1" applyFill="1" applyBorder="1" applyAlignment="1">
      <alignment horizontal="center" vertical="center" wrapText="1"/>
    </xf>
    <xf numFmtId="0" fontId="2" fillId="0" borderId="24" xfId="0" applyFont="1" applyBorder="1"/>
    <xf numFmtId="0" fontId="60" fillId="0" borderId="0" xfId="0" applyFont="1" applyAlignment="1">
      <alignment horizontal="left" wrapText="1"/>
    </xf>
    <xf numFmtId="0" fontId="63" fillId="0" borderId="0" xfId="0" applyFont="1" applyAlignment="1">
      <alignment horizontal="left" wrapText="1"/>
    </xf>
    <xf numFmtId="0" fontId="14" fillId="0" borderId="29" xfId="0" applyFont="1" applyBorder="1" applyAlignment="1">
      <alignment horizontal="left" wrapText="1"/>
    </xf>
    <xf numFmtId="0" fontId="2" fillId="0" borderId="29" xfId="0" applyFont="1" applyBorder="1"/>
    <xf numFmtId="0" fontId="75" fillId="0" borderId="0" xfId="0" applyFont="1" applyAlignment="1">
      <alignment horizontal="left" vertical="top" wrapText="1"/>
    </xf>
    <xf numFmtId="0" fontId="63" fillId="0" borderId="29" xfId="0" applyFont="1" applyBorder="1" applyAlignment="1">
      <alignment horizontal="left" wrapText="1"/>
    </xf>
    <xf numFmtId="168" fontId="48" fillId="0" borderId="31" xfId="0" applyNumberFormat="1" applyFont="1" applyBorder="1" applyAlignment="1">
      <alignment horizontal="left" vertical="top" wrapText="1"/>
    </xf>
    <xf numFmtId="0" fontId="2" fillId="0" borderId="31" xfId="0" applyFont="1" applyBorder="1"/>
    <xf numFmtId="0" fontId="75" fillId="0" borderId="31" xfId="0" applyFont="1" applyBorder="1" applyAlignment="1">
      <alignment horizontal="left" vertical="top" wrapText="1"/>
    </xf>
  </cellXfs>
  <cellStyles count="1">
    <cellStyle name="Normal" xfId="0" builtinId="0"/>
  </cellStyles>
  <dxfs count="20">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
      <font>
        <color rgb="FFBFBFBF"/>
      </font>
      <fill>
        <patternFill patternType="solid">
          <fgColor rgb="FFBFBFBF"/>
          <bgColor rgb="FFBFBFB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1"/>
  <c:style val="2"/>
  <c:protection>
    <c:chartObject val="0"/>
    <c:data val="0"/>
    <c:formatting val="0"/>
    <c:selection val="0"/>
    <c:userInterface val="0"/>
  </c:protection>
  <c:chart>
    <c:title>
      <c:tx>
        <c:rich>
          <a:bodyPr/>
          <a:lstStyle/>
          <a:p>
            <a:pPr lvl="0">
              <a:defRPr sz="2400" b="0" i="0">
                <a:solidFill>
                  <a:srgbClr val="757575"/>
                </a:solidFill>
                <a:latin typeface="+mn-lt"/>
              </a:defRPr>
            </a:pPr>
            <a:r>
              <a:rPr lang="fr-CA" sz="2400" b="0" i="0">
                <a:solidFill>
                  <a:srgbClr val="757575"/>
                </a:solidFill>
                <a:latin typeface="+mn-lt"/>
              </a:rPr>
              <a:t>Évolution de la dette brute par rapport au PIB</a:t>
            </a:r>
          </a:p>
        </c:rich>
      </c:tx>
      <c:overlay val="0"/>
    </c:title>
    <c:autoTitleDeleted val="0"/>
    <c:plotArea>
      <c:layout/>
      <c:lineChart>
        <c:grouping val="standard"/>
        <c:varyColors val="1"/>
        <c:ser>
          <c:idx val="0"/>
          <c:order val="0"/>
          <c:tx>
            <c:v>Rapport préélectoral</c:v>
          </c:tx>
          <c:spPr>
            <a:ln w="28575" cmpd="sng">
              <a:solidFill>
                <a:srgbClr val="FF9900">
                  <a:alpha val="100000"/>
                </a:srgbClr>
              </a:solidFill>
            </a:ln>
          </c:spPr>
          <c:marker>
            <c:symbol val="circle"/>
            <c:size val="5"/>
            <c:spPr>
              <a:solidFill>
                <a:srgbClr val="FF9900">
                  <a:alpha val="100000"/>
                </a:srgbClr>
              </a:solidFill>
              <a:ln cmpd="sng">
                <a:solidFill>
                  <a:srgbClr val="FF9900">
                    <a:alpha val="100000"/>
                  </a:srgbClr>
                </a:solidFill>
              </a:ln>
            </c:spPr>
          </c:marker>
          <c:cat>
            <c:strRef>
              <c:f>Simulation!$E$183:$I$183</c:f>
              <c:strCache>
                <c:ptCount val="5"/>
                <c:pt idx="0">
                  <c:v>2022-2023</c:v>
                </c:pt>
                <c:pt idx="1">
                  <c:v>2023-2024</c:v>
                </c:pt>
                <c:pt idx="2">
                  <c:v>2024-2025</c:v>
                </c:pt>
                <c:pt idx="3">
                  <c:v>2025-2026</c:v>
                </c:pt>
                <c:pt idx="4">
                  <c:v>2026-2027</c:v>
                </c:pt>
              </c:strCache>
            </c:strRef>
          </c:cat>
          <c:val>
            <c:numRef>
              <c:f>Simulation!$E$185:$I$185</c:f>
              <c:numCache>
                <c:formatCode>[=0]\—;\–#\ ##0.0;#\ ##0.0</c:formatCode>
                <c:ptCount val="5"/>
                <c:pt idx="0">
                  <c:v>39.700000000000003</c:v>
                </c:pt>
                <c:pt idx="1">
                  <c:v>39.1</c:v>
                </c:pt>
                <c:pt idx="2">
                  <c:v>38.299999999999997</c:v>
                </c:pt>
                <c:pt idx="3">
                  <c:v>37.700000000000003</c:v>
                </c:pt>
                <c:pt idx="4">
                  <c:v>37</c:v>
                </c:pt>
              </c:numCache>
            </c:numRef>
          </c:val>
          <c:smooth val="0"/>
          <c:extLst>
            <c:ext xmlns:c16="http://schemas.microsoft.com/office/drawing/2014/chart" uri="{C3380CC4-5D6E-409C-BE32-E72D297353CC}">
              <c16:uniqueId val="{00000000-EAC7-4959-9C6B-41B30DC993C7}"/>
            </c:ext>
          </c:extLst>
        </c:ser>
        <c:ser>
          <c:idx val="1"/>
          <c:order val="1"/>
          <c:tx>
            <c:v>Proposition du PQ</c:v>
          </c:tx>
          <c:spPr>
            <a:ln w="28575" cmpd="sng">
              <a:solidFill>
                <a:srgbClr val="0070C0">
                  <a:alpha val="100000"/>
                </a:srgbClr>
              </a:solidFill>
            </a:ln>
          </c:spPr>
          <c:marker>
            <c:symbol val="circle"/>
            <c:size val="5"/>
            <c:spPr>
              <a:solidFill>
                <a:srgbClr val="0070C0">
                  <a:alpha val="100000"/>
                </a:srgbClr>
              </a:solidFill>
              <a:ln cmpd="sng">
                <a:solidFill>
                  <a:srgbClr val="0070C0">
                    <a:alpha val="100000"/>
                  </a:srgbClr>
                </a:solidFill>
              </a:ln>
            </c:spPr>
          </c:marker>
          <c:cat>
            <c:strRef>
              <c:f>Simulation!$E$183:$I$183</c:f>
              <c:strCache>
                <c:ptCount val="5"/>
                <c:pt idx="0">
                  <c:v>2022-2023</c:v>
                </c:pt>
                <c:pt idx="1">
                  <c:v>2023-2024</c:v>
                </c:pt>
                <c:pt idx="2">
                  <c:v>2024-2025</c:v>
                </c:pt>
                <c:pt idx="3">
                  <c:v>2025-2026</c:v>
                </c:pt>
                <c:pt idx="4">
                  <c:v>2026-2027</c:v>
                </c:pt>
              </c:strCache>
            </c:strRef>
          </c:cat>
          <c:val>
            <c:numRef>
              <c:f>Simulation!$E$189:$I$189</c:f>
              <c:numCache>
                <c:formatCode>[=0]\—;\–#\ ##0.0;#\ ##0.0</c:formatCode>
                <c:ptCount val="5"/>
                <c:pt idx="0">
                  <c:v>40.4</c:v>
                </c:pt>
                <c:pt idx="1">
                  <c:v>40.1</c:v>
                </c:pt>
                <c:pt idx="2">
                  <c:v>39.6</c:v>
                </c:pt>
                <c:pt idx="3">
                  <c:v>39.5</c:v>
                </c:pt>
                <c:pt idx="4">
                  <c:v>39.4</c:v>
                </c:pt>
              </c:numCache>
            </c:numRef>
          </c:val>
          <c:smooth val="0"/>
          <c:extLst>
            <c:ext xmlns:c16="http://schemas.microsoft.com/office/drawing/2014/chart" uri="{C3380CC4-5D6E-409C-BE32-E72D297353CC}">
              <c16:uniqueId val="{00000001-EAC7-4959-9C6B-41B30DC993C7}"/>
            </c:ext>
          </c:extLst>
        </c:ser>
        <c:dLbls>
          <c:showLegendKey val="0"/>
          <c:showVal val="0"/>
          <c:showCatName val="0"/>
          <c:showSerName val="0"/>
          <c:showPercent val="0"/>
          <c:showBubbleSize val="0"/>
        </c:dLbls>
        <c:marker val="1"/>
        <c:smooth val="0"/>
        <c:axId val="779722475"/>
        <c:axId val="964432380"/>
      </c:lineChart>
      <c:catAx>
        <c:axId val="779722475"/>
        <c:scaling>
          <c:orientation val="minMax"/>
        </c:scaling>
        <c:delete val="0"/>
        <c:axPos val="b"/>
        <c:title>
          <c:tx>
            <c:rich>
              <a:bodyPr/>
              <a:lstStyle/>
              <a:p>
                <a:pPr lvl="0">
                  <a:defRPr sz="1400" b="0" i="0">
                    <a:solidFill>
                      <a:srgbClr val="000000"/>
                    </a:solidFill>
                    <a:latin typeface="+mn-lt"/>
                  </a:defRPr>
                </a:pPr>
                <a:r>
                  <a:rPr lang="fr-CA" sz="1400" b="0" i="0">
                    <a:solidFill>
                      <a:srgbClr val="000000"/>
                    </a:solidFill>
                    <a:latin typeface="+mn-lt"/>
                  </a:rPr>
                  <a:t>Année</a:t>
                </a:r>
              </a:p>
            </c:rich>
          </c:tx>
          <c:overlay val="0"/>
        </c:title>
        <c:numFmt formatCode="General" sourceLinked="1"/>
        <c:majorTickMark val="none"/>
        <c:minorTickMark val="none"/>
        <c:tickLblPos val="nextTo"/>
        <c:txPr>
          <a:bodyPr/>
          <a:lstStyle/>
          <a:p>
            <a:pPr lvl="0">
              <a:defRPr sz="1200" b="0" i="0">
                <a:solidFill>
                  <a:srgbClr val="000000"/>
                </a:solidFill>
                <a:latin typeface="+mn-lt"/>
              </a:defRPr>
            </a:pPr>
            <a:endParaRPr lang="fr-FR"/>
          </a:p>
        </c:txPr>
        <c:crossAx val="964432380"/>
        <c:crosses val="autoZero"/>
        <c:auto val="1"/>
        <c:lblAlgn val="ctr"/>
        <c:lblOffset val="100"/>
        <c:noMultiLvlLbl val="1"/>
      </c:catAx>
      <c:valAx>
        <c:axId val="964432380"/>
        <c:scaling>
          <c:orientation val="minMax"/>
          <c:max val="50"/>
        </c:scaling>
        <c:delete val="0"/>
        <c:axPos val="l"/>
        <c:majorGridlines>
          <c:spPr>
            <a:ln>
              <a:solidFill>
                <a:srgbClr val="B7B7B7"/>
              </a:solidFill>
            </a:ln>
          </c:spPr>
        </c:majorGridlines>
        <c:title>
          <c:tx>
            <c:rich>
              <a:bodyPr/>
              <a:lstStyle/>
              <a:p>
                <a:pPr lvl="0">
                  <a:defRPr sz="1400" b="0" i="0">
                    <a:solidFill>
                      <a:srgbClr val="000000"/>
                    </a:solidFill>
                    <a:latin typeface="+mn-lt"/>
                  </a:defRPr>
                </a:pPr>
                <a:r>
                  <a:rPr lang="fr-CA" sz="1400" b="0" i="0">
                    <a:solidFill>
                      <a:srgbClr val="000000"/>
                    </a:solidFill>
                    <a:latin typeface="+mn-lt"/>
                  </a:rPr>
                  <a:t>Ratio de la dette brute et du PIB (%)</a:t>
                </a:r>
              </a:p>
            </c:rich>
          </c:tx>
          <c:overlay val="0"/>
        </c:title>
        <c:numFmt formatCode="#,##0" sourceLinked="0"/>
        <c:majorTickMark val="none"/>
        <c:minorTickMark val="none"/>
        <c:tickLblPos val="nextTo"/>
        <c:spPr>
          <a:ln/>
        </c:spPr>
        <c:txPr>
          <a:bodyPr/>
          <a:lstStyle/>
          <a:p>
            <a:pPr lvl="0">
              <a:defRPr sz="900" b="0" i="0">
                <a:solidFill>
                  <a:srgbClr val="000000"/>
                </a:solidFill>
                <a:latin typeface="+mn-lt"/>
              </a:defRPr>
            </a:pPr>
            <a:endParaRPr lang="fr-FR"/>
          </a:p>
        </c:txPr>
        <c:crossAx val="779722475"/>
        <c:crosses val="autoZero"/>
        <c:crossBetween val="between"/>
      </c:valAx>
    </c:plotArea>
    <c:legend>
      <c:legendPos val="t"/>
      <c:overlay val="0"/>
      <c:txPr>
        <a:bodyPr/>
        <a:lstStyle/>
        <a:p>
          <a:pPr lvl="0">
            <a:defRPr sz="1400" b="0" i="0">
              <a:solidFill>
                <a:srgbClr val="1A1A1A"/>
              </a:solidFill>
              <a:latin typeface="+mn-lt"/>
            </a:defRPr>
          </a:pPr>
          <a:endParaRPr lang="fr-FR"/>
        </a:p>
      </c:txPr>
    </c:legend>
    <c:plotVisOnly val="1"/>
    <c:dispBlanksAs val="zero"/>
    <c:showDLblsOverMax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80" workbookViewId="0"/>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590675" cy="419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28575</xdr:colOff>
      <xdr:row>0</xdr:row>
      <xdr:rowOff>142875</xdr:rowOff>
    </xdr:from>
    <xdr:ext cx="1724025" cy="419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219075</xdr:colOff>
      <xdr:row>0</xdr:row>
      <xdr:rowOff>152400</xdr:rowOff>
    </xdr:from>
    <xdr:ext cx="1733550" cy="4191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152400</xdr:colOff>
      <xdr:row>0</xdr:row>
      <xdr:rowOff>152400</xdr:rowOff>
    </xdr:from>
    <xdr:ext cx="1676400" cy="4191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absoluteAnchor>
    <xdr:pos x="0" y="0"/>
    <xdr:ext cx="8683625" cy="6286500"/>
    <xdr:graphicFrame macro="">
      <xdr:nvGraphicFramePr>
        <xdr:cNvPr id="2" name="Chart 1" title="Graphique">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tresor.gouv.qc.ca/fileadmin/PDF/budget_depenses/22-23/6-Plan_quebecois_infrastructures.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X1000"/>
  <sheetViews>
    <sheetView tabSelected="1" workbookViewId="0"/>
  </sheetViews>
  <sheetFormatPr baseColWidth="10" defaultColWidth="12.6640625" defaultRowHeight="15" customHeight="1" x14ac:dyDescent="0.15"/>
  <cols>
    <col min="1" max="1" width="6.1640625" customWidth="1"/>
    <col min="2" max="2" width="3.5" customWidth="1"/>
    <col min="3" max="3" width="13.1640625" customWidth="1"/>
    <col min="4" max="4" width="72.83203125" customWidth="1"/>
    <col min="5" max="5" width="2.1640625" customWidth="1"/>
    <col min="6" max="24" width="11.5" customWidth="1"/>
  </cols>
  <sheetData>
    <row r="1" spans="1:24" ht="12.75" customHeight="1" x14ac:dyDescent="0.15">
      <c r="A1" s="1"/>
      <c r="B1" s="1"/>
      <c r="C1" s="1"/>
      <c r="D1" s="1"/>
      <c r="E1" s="1"/>
      <c r="F1" s="1"/>
      <c r="G1" s="1"/>
      <c r="H1" s="1"/>
      <c r="I1" s="1"/>
      <c r="J1" s="1"/>
      <c r="K1" s="1"/>
      <c r="L1" s="1"/>
      <c r="M1" s="1"/>
      <c r="N1" s="1"/>
      <c r="O1" s="1"/>
      <c r="P1" s="1"/>
      <c r="Q1" s="1"/>
      <c r="R1" s="1"/>
      <c r="S1" s="1"/>
      <c r="T1" s="1"/>
      <c r="U1" s="1"/>
      <c r="V1" s="1"/>
      <c r="W1" s="1"/>
      <c r="X1" s="1"/>
    </row>
    <row r="2" spans="1:24" ht="39.75" customHeight="1" x14ac:dyDescent="0.15">
      <c r="A2" s="319"/>
      <c r="B2" s="320"/>
      <c r="C2" s="320"/>
      <c r="D2" s="321" t="s">
        <v>0</v>
      </c>
      <c r="E2" s="322"/>
      <c r="F2" s="1"/>
      <c r="G2" s="1"/>
      <c r="H2" s="1"/>
      <c r="I2" s="1"/>
      <c r="J2" s="1"/>
      <c r="K2" s="1"/>
      <c r="L2" s="1"/>
      <c r="M2" s="1"/>
      <c r="N2" s="1"/>
      <c r="O2" s="1"/>
      <c r="P2" s="1"/>
      <c r="Q2" s="1"/>
      <c r="R2" s="1"/>
      <c r="S2" s="1"/>
      <c r="T2" s="1"/>
      <c r="U2" s="1"/>
      <c r="V2" s="1"/>
      <c r="W2" s="1"/>
      <c r="X2" s="1"/>
    </row>
    <row r="3" spans="1:24" ht="17.25" customHeight="1" x14ac:dyDescent="0.15">
      <c r="A3" s="1"/>
      <c r="B3" s="2"/>
      <c r="C3" s="2"/>
      <c r="D3" s="2"/>
      <c r="E3" s="2"/>
      <c r="F3" s="1"/>
      <c r="G3" s="1"/>
      <c r="H3" s="1"/>
      <c r="I3" s="1"/>
      <c r="J3" s="1"/>
      <c r="K3" s="1"/>
      <c r="L3" s="1"/>
      <c r="M3" s="1"/>
      <c r="N3" s="1"/>
      <c r="O3" s="1"/>
      <c r="P3" s="1"/>
      <c r="Q3" s="1"/>
      <c r="R3" s="1"/>
      <c r="S3" s="1"/>
      <c r="T3" s="1"/>
      <c r="U3" s="1"/>
      <c r="V3" s="1"/>
      <c r="W3" s="1"/>
      <c r="X3" s="1"/>
    </row>
    <row r="4" spans="1:24" ht="17.25" customHeight="1" x14ac:dyDescent="0.15">
      <c r="A4" s="1"/>
      <c r="B4" s="3"/>
      <c r="C4" s="3"/>
      <c r="D4" s="3"/>
      <c r="E4" s="3"/>
      <c r="F4" s="1"/>
      <c r="G4" s="1"/>
      <c r="H4" s="1"/>
      <c r="I4" s="1"/>
      <c r="J4" s="1"/>
      <c r="K4" s="1"/>
      <c r="L4" s="1"/>
      <c r="M4" s="1"/>
      <c r="N4" s="1"/>
      <c r="O4" s="1"/>
      <c r="P4" s="1"/>
      <c r="Q4" s="1"/>
      <c r="R4" s="1"/>
      <c r="S4" s="1"/>
      <c r="T4" s="1"/>
      <c r="U4" s="1"/>
      <c r="V4" s="1"/>
      <c r="W4" s="1"/>
      <c r="X4" s="1"/>
    </row>
    <row r="5" spans="1:24" ht="17.25" customHeight="1" x14ac:dyDescent="0.2">
      <c r="A5" s="1"/>
      <c r="B5" s="323" t="s">
        <v>1</v>
      </c>
      <c r="C5" s="324"/>
      <c r="D5" s="324"/>
      <c r="E5" s="324"/>
      <c r="F5" s="1"/>
      <c r="G5" s="1"/>
      <c r="H5" s="1"/>
      <c r="I5" s="1"/>
      <c r="J5" s="1"/>
      <c r="K5" s="1"/>
      <c r="L5" s="1"/>
      <c r="M5" s="1"/>
      <c r="N5" s="1"/>
      <c r="O5" s="1"/>
      <c r="P5" s="1"/>
      <c r="Q5" s="1"/>
      <c r="R5" s="1"/>
      <c r="S5" s="1"/>
      <c r="T5" s="1"/>
      <c r="U5" s="1"/>
      <c r="V5" s="1"/>
      <c r="W5" s="1"/>
      <c r="X5" s="1"/>
    </row>
    <row r="6" spans="1:24" ht="17.25" customHeight="1" x14ac:dyDescent="0.15">
      <c r="A6" s="1"/>
      <c r="B6" s="325"/>
      <c r="C6" s="324"/>
      <c r="D6" s="324"/>
      <c r="E6" s="324"/>
      <c r="F6" s="1"/>
      <c r="G6" s="1"/>
      <c r="H6" s="1"/>
      <c r="I6" s="1"/>
      <c r="J6" s="1"/>
      <c r="K6" s="1"/>
      <c r="L6" s="1"/>
      <c r="M6" s="1"/>
      <c r="N6" s="1"/>
      <c r="O6" s="1"/>
      <c r="P6" s="1"/>
      <c r="Q6" s="1"/>
      <c r="R6" s="1"/>
      <c r="S6" s="1"/>
      <c r="T6" s="1"/>
      <c r="U6" s="1"/>
      <c r="V6" s="1"/>
      <c r="W6" s="1"/>
      <c r="X6" s="1"/>
    </row>
    <row r="7" spans="1:24" ht="17.25" customHeight="1" x14ac:dyDescent="0.2">
      <c r="A7" s="1"/>
      <c r="B7" s="326" t="s">
        <v>2</v>
      </c>
      <c r="C7" s="324"/>
      <c r="D7" s="324"/>
      <c r="E7" s="324"/>
      <c r="F7" s="1"/>
      <c r="G7" s="1"/>
      <c r="H7" s="1"/>
      <c r="I7" s="1"/>
      <c r="J7" s="1"/>
      <c r="K7" s="1"/>
      <c r="L7" s="1"/>
      <c r="M7" s="1"/>
      <c r="N7" s="1"/>
      <c r="O7" s="1"/>
      <c r="P7" s="1"/>
      <c r="Q7" s="1"/>
      <c r="R7" s="1"/>
      <c r="S7" s="1"/>
      <c r="T7" s="1"/>
      <c r="U7" s="1"/>
      <c r="V7" s="1"/>
      <c r="W7" s="1"/>
      <c r="X7" s="1"/>
    </row>
    <row r="8" spans="1:24" ht="17.25" customHeight="1" x14ac:dyDescent="0.2">
      <c r="A8" s="1"/>
      <c r="B8" s="326"/>
      <c r="C8" s="324"/>
      <c r="D8" s="324"/>
      <c r="E8" s="324"/>
      <c r="F8" s="1"/>
      <c r="G8" s="1"/>
      <c r="H8" s="1"/>
      <c r="I8" s="1"/>
      <c r="J8" s="1"/>
      <c r="K8" s="1"/>
      <c r="L8" s="1"/>
      <c r="M8" s="1"/>
      <c r="N8" s="1"/>
      <c r="O8" s="1"/>
      <c r="P8" s="1"/>
      <c r="Q8" s="1"/>
      <c r="R8" s="1"/>
      <c r="S8" s="1"/>
      <c r="T8" s="1"/>
      <c r="U8" s="1"/>
      <c r="V8" s="1"/>
      <c r="W8" s="1"/>
      <c r="X8" s="1"/>
    </row>
    <row r="9" spans="1:24" ht="17.25" customHeight="1" x14ac:dyDescent="0.2">
      <c r="A9" s="1"/>
      <c r="B9" s="5" t="s">
        <v>3</v>
      </c>
      <c r="C9" s="327" t="s">
        <v>4</v>
      </c>
      <c r="D9" s="324"/>
      <c r="E9" s="1"/>
      <c r="F9" s="1"/>
      <c r="G9" s="1"/>
      <c r="H9" s="1"/>
      <c r="I9" s="1"/>
      <c r="J9" s="1"/>
      <c r="K9" s="1"/>
      <c r="L9" s="1"/>
      <c r="M9" s="1"/>
      <c r="N9" s="1"/>
      <c r="O9" s="1"/>
      <c r="P9" s="1"/>
      <c r="Q9" s="1"/>
      <c r="R9" s="1"/>
      <c r="S9" s="1"/>
      <c r="T9" s="1"/>
      <c r="U9" s="1"/>
      <c r="V9" s="1"/>
      <c r="W9" s="1"/>
      <c r="X9" s="1"/>
    </row>
    <row r="10" spans="1:24" ht="34.5" customHeight="1" x14ac:dyDescent="0.2">
      <c r="A10" s="1"/>
      <c r="B10" s="4"/>
      <c r="C10" s="333" t="s">
        <v>5</v>
      </c>
      <c r="D10" s="324"/>
      <c r="E10" s="1"/>
      <c r="F10" s="1"/>
      <c r="G10" s="1"/>
      <c r="H10" s="1"/>
      <c r="I10" s="1"/>
      <c r="J10" s="1"/>
      <c r="K10" s="1"/>
      <c r="L10" s="1"/>
      <c r="M10" s="1"/>
      <c r="N10" s="1"/>
      <c r="O10" s="1"/>
      <c r="P10" s="1"/>
      <c r="Q10" s="1"/>
      <c r="R10" s="1"/>
      <c r="S10" s="1"/>
      <c r="T10" s="1"/>
      <c r="U10" s="1"/>
      <c r="V10" s="1"/>
      <c r="W10" s="1"/>
      <c r="X10" s="1"/>
    </row>
    <row r="11" spans="1:24" ht="12.75" customHeight="1" x14ac:dyDescent="0.2">
      <c r="A11" s="1"/>
      <c r="B11" s="4"/>
      <c r="C11" s="326"/>
      <c r="D11" s="324"/>
      <c r="E11" s="1"/>
      <c r="F11" s="1"/>
      <c r="G11" s="1"/>
      <c r="H11" s="1"/>
      <c r="I11" s="1"/>
      <c r="J11" s="1"/>
      <c r="K11" s="1"/>
      <c r="L11" s="1"/>
      <c r="M11" s="1"/>
      <c r="N11" s="1"/>
      <c r="O11" s="1"/>
      <c r="P11" s="1"/>
      <c r="Q11" s="1"/>
      <c r="R11" s="1"/>
      <c r="S11" s="1"/>
      <c r="T11" s="1"/>
      <c r="U11" s="1"/>
      <c r="V11" s="1"/>
      <c r="W11" s="1"/>
      <c r="X11" s="1"/>
    </row>
    <row r="12" spans="1:24" ht="17.25" customHeight="1" x14ac:dyDescent="0.2">
      <c r="A12" s="1"/>
      <c r="B12" s="5" t="s">
        <v>6</v>
      </c>
      <c r="C12" s="327" t="s">
        <v>7</v>
      </c>
      <c r="D12" s="324"/>
      <c r="E12" s="1"/>
      <c r="F12" s="1"/>
      <c r="G12" s="1"/>
      <c r="H12" s="1"/>
      <c r="I12" s="1"/>
      <c r="J12" s="1"/>
      <c r="K12" s="1"/>
      <c r="L12" s="1"/>
      <c r="M12" s="1"/>
      <c r="N12" s="1"/>
      <c r="O12" s="1"/>
      <c r="P12" s="1"/>
      <c r="Q12" s="1"/>
      <c r="R12" s="1"/>
      <c r="S12" s="1"/>
      <c r="T12" s="1"/>
      <c r="U12" s="1"/>
      <c r="V12" s="1"/>
      <c r="W12" s="1"/>
      <c r="X12" s="1"/>
    </row>
    <row r="13" spans="1:24" ht="36.75" customHeight="1" x14ac:dyDescent="0.2">
      <c r="A13" s="1"/>
      <c r="B13" s="4"/>
      <c r="C13" s="333" t="s">
        <v>8</v>
      </c>
      <c r="D13" s="324"/>
      <c r="E13" s="1"/>
      <c r="F13" s="1"/>
      <c r="G13" s="1"/>
      <c r="H13" s="1"/>
      <c r="I13" s="1"/>
      <c r="J13" s="1"/>
      <c r="K13" s="1"/>
      <c r="L13" s="1"/>
      <c r="M13" s="1"/>
      <c r="N13" s="1"/>
      <c r="O13" s="1"/>
      <c r="P13" s="1"/>
      <c r="Q13" s="1"/>
      <c r="R13" s="1"/>
      <c r="S13" s="1"/>
      <c r="T13" s="1"/>
      <c r="U13" s="1"/>
      <c r="V13" s="1"/>
      <c r="W13" s="1"/>
      <c r="X13" s="1"/>
    </row>
    <row r="14" spans="1:24" ht="12.75" customHeight="1" x14ac:dyDescent="0.2">
      <c r="A14" s="1"/>
      <c r="B14" s="4"/>
      <c r="C14" s="326"/>
      <c r="D14" s="324"/>
      <c r="E14" s="1"/>
      <c r="F14" s="1"/>
      <c r="G14" s="1"/>
      <c r="H14" s="1"/>
      <c r="I14" s="1"/>
      <c r="J14" s="1"/>
      <c r="K14" s="1"/>
      <c r="L14" s="1"/>
      <c r="M14" s="1"/>
      <c r="N14" s="1"/>
      <c r="O14" s="1"/>
      <c r="P14" s="1"/>
      <c r="Q14" s="1"/>
      <c r="R14" s="1"/>
      <c r="S14" s="1"/>
      <c r="T14" s="1"/>
      <c r="U14" s="1"/>
      <c r="V14" s="1"/>
      <c r="W14" s="1"/>
      <c r="X14" s="1"/>
    </row>
    <row r="15" spans="1:24" ht="17.25" customHeight="1" x14ac:dyDescent="0.2">
      <c r="A15" s="1"/>
      <c r="B15" s="5" t="s">
        <v>9</v>
      </c>
      <c r="C15" s="327" t="s">
        <v>10</v>
      </c>
      <c r="D15" s="324"/>
      <c r="E15" s="1"/>
      <c r="F15" s="1"/>
      <c r="G15" s="1"/>
      <c r="H15" s="1"/>
      <c r="I15" s="1"/>
      <c r="J15" s="1"/>
      <c r="K15" s="1"/>
      <c r="L15" s="1"/>
      <c r="M15" s="1"/>
      <c r="N15" s="1"/>
      <c r="O15" s="1"/>
      <c r="P15" s="1"/>
      <c r="Q15" s="1"/>
      <c r="R15" s="1"/>
      <c r="S15" s="1"/>
      <c r="T15" s="1"/>
      <c r="U15" s="1"/>
      <c r="V15" s="1"/>
      <c r="W15" s="1"/>
      <c r="X15" s="1"/>
    </row>
    <row r="16" spans="1:24" ht="34.5" customHeight="1" x14ac:dyDescent="0.2">
      <c r="A16" s="1"/>
      <c r="B16" s="4"/>
      <c r="C16" s="333" t="s">
        <v>11</v>
      </c>
      <c r="D16" s="324"/>
      <c r="E16" s="1"/>
      <c r="F16" s="1"/>
      <c r="G16" s="1"/>
      <c r="H16" s="1"/>
      <c r="I16" s="1"/>
      <c r="J16" s="1"/>
      <c r="K16" s="1"/>
      <c r="L16" s="1"/>
      <c r="M16" s="1"/>
      <c r="N16" s="1"/>
      <c r="O16" s="1"/>
      <c r="P16" s="1"/>
      <c r="Q16" s="1"/>
      <c r="R16" s="1"/>
      <c r="S16" s="1"/>
      <c r="T16" s="1"/>
      <c r="U16" s="1"/>
      <c r="V16" s="1"/>
      <c r="W16" s="1"/>
      <c r="X16" s="1"/>
    </row>
    <row r="17" spans="1:24" ht="12.75" customHeight="1" x14ac:dyDescent="0.2">
      <c r="A17" s="1"/>
      <c r="B17" s="4"/>
      <c r="C17" s="326"/>
      <c r="D17" s="324"/>
      <c r="E17" s="1"/>
      <c r="F17" s="1"/>
      <c r="G17" s="1"/>
      <c r="H17" s="1"/>
      <c r="I17" s="1"/>
      <c r="J17" s="1"/>
      <c r="K17" s="1"/>
      <c r="L17" s="1"/>
      <c r="M17" s="1"/>
      <c r="N17" s="1"/>
      <c r="O17" s="1"/>
      <c r="P17" s="1"/>
      <c r="Q17" s="1"/>
      <c r="R17" s="1"/>
      <c r="S17" s="1"/>
      <c r="T17" s="1"/>
      <c r="U17" s="1"/>
      <c r="V17" s="1"/>
      <c r="W17" s="1"/>
      <c r="X17" s="1"/>
    </row>
    <row r="18" spans="1:24" ht="17.25" customHeight="1" x14ac:dyDescent="0.2">
      <c r="A18" s="1"/>
      <c r="B18" s="6" t="s">
        <v>6</v>
      </c>
      <c r="C18" s="328" t="s">
        <v>12</v>
      </c>
      <c r="D18" s="329"/>
      <c r="E18" s="1"/>
      <c r="F18" s="1"/>
      <c r="G18" s="1"/>
      <c r="H18" s="1"/>
      <c r="I18" s="1"/>
      <c r="J18" s="1"/>
      <c r="K18" s="1"/>
      <c r="L18" s="1"/>
      <c r="M18" s="1"/>
      <c r="N18" s="1"/>
      <c r="O18" s="1"/>
      <c r="P18" s="1"/>
      <c r="Q18" s="1"/>
      <c r="R18" s="1"/>
      <c r="S18" s="1"/>
      <c r="T18" s="1"/>
      <c r="U18" s="1"/>
      <c r="V18" s="1"/>
      <c r="W18" s="1"/>
      <c r="X18" s="1"/>
    </row>
    <row r="19" spans="1:24" ht="72" customHeight="1" x14ac:dyDescent="0.2">
      <c r="A19" s="1"/>
      <c r="B19" s="7"/>
      <c r="C19" s="330" t="s">
        <v>13</v>
      </c>
      <c r="D19" s="329"/>
      <c r="E19" s="1"/>
      <c r="F19" s="1"/>
      <c r="G19" s="1"/>
      <c r="H19" s="1"/>
      <c r="I19" s="1"/>
      <c r="J19" s="1"/>
      <c r="K19" s="1"/>
      <c r="L19" s="1"/>
      <c r="M19" s="1"/>
      <c r="N19" s="1"/>
      <c r="O19" s="1"/>
      <c r="P19" s="1"/>
      <c r="Q19" s="1"/>
      <c r="R19" s="1"/>
      <c r="S19" s="1"/>
      <c r="T19" s="1"/>
      <c r="U19" s="1"/>
      <c r="V19" s="1"/>
      <c r="W19" s="1"/>
      <c r="X19" s="1"/>
    </row>
    <row r="20" spans="1:24" ht="17.25" customHeight="1" x14ac:dyDescent="0.15">
      <c r="A20" s="1"/>
      <c r="B20" s="1"/>
      <c r="C20" s="331"/>
      <c r="D20" s="324"/>
      <c r="E20" s="1"/>
      <c r="F20" s="1"/>
      <c r="G20" s="1"/>
      <c r="H20" s="1"/>
      <c r="I20" s="1"/>
      <c r="J20" s="1"/>
      <c r="K20" s="1"/>
      <c r="L20" s="1"/>
      <c r="M20" s="1"/>
      <c r="N20" s="1"/>
      <c r="O20" s="1"/>
      <c r="P20" s="1"/>
      <c r="Q20" s="1"/>
      <c r="R20" s="1"/>
      <c r="S20" s="1"/>
      <c r="T20" s="1"/>
      <c r="U20" s="1"/>
      <c r="V20" s="1"/>
      <c r="W20" s="1"/>
      <c r="X20" s="1"/>
    </row>
    <row r="21" spans="1:24" ht="43.5" customHeight="1" x14ac:dyDescent="0.15">
      <c r="A21" s="1"/>
      <c r="B21" s="8" t="s">
        <v>14</v>
      </c>
      <c r="C21" s="332" t="s">
        <v>15</v>
      </c>
      <c r="D21" s="324"/>
      <c r="E21" s="1"/>
      <c r="F21" s="1"/>
      <c r="G21" s="1"/>
      <c r="H21" s="1"/>
      <c r="I21" s="1"/>
      <c r="J21" s="1"/>
      <c r="K21" s="1"/>
      <c r="L21" s="1"/>
      <c r="M21" s="1"/>
      <c r="N21" s="1"/>
      <c r="O21" s="1"/>
      <c r="P21" s="1"/>
      <c r="Q21" s="1"/>
      <c r="R21" s="1"/>
      <c r="S21" s="1"/>
      <c r="T21" s="1"/>
      <c r="U21" s="1"/>
      <c r="V21" s="1"/>
      <c r="W21" s="1"/>
      <c r="X21" s="1"/>
    </row>
    <row r="22" spans="1:24" ht="9" customHeight="1" x14ac:dyDescent="0.15">
      <c r="A22" s="9"/>
      <c r="B22" s="9"/>
      <c r="C22" s="9"/>
      <c r="D22" s="9"/>
      <c r="E22" s="9"/>
      <c r="F22" s="1"/>
      <c r="G22" s="1"/>
      <c r="H22" s="1"/>
      <c r="I22" s="1"/>
      <c r="J22" s="1"/>
      <c r="K22" s="1"/>
      <c r="L22" s="1"/>
      <c r="M22" s="1"/>
      <c r="N22" s="1"/>
      <c r="O22" s="1"/>
      <c r="P22" s="1"/>
      <c r="Q22" s="1"/>
      <c r="R22" s="1"/>
      <c r="S22" s="1"/>
      <c r="T22" s="1"/>
      <c r="U22" s="1"/>
      <c r="V22" s="1"/>
      <c r="W22" s="1"/>
      <c r="X22" s="1"/>
    </row>
    <row r="23" spans="1:24"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row>
    <row r="24" spans="1:24"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row>
    <row r="25" spans="1:24"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row>
    <row r="26" spans="1:24"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row>
    <row r="27" spans="1:24" ht="12.75" customHeight="1" x14ac:dyDescent="0.15">
      <c r="A27" s="1"/>
      <c r="B27" s="1"/>
      <c r="C27" s="1"/>
      <c r="D27" s="1"/>
      <c r="E27" s="1"/>
      <c r="F27" s="1"/>
      <c r="G27" s="1"/>
      <c r="H27" s="1"/>
      <c r="I27" s="1"/>
      <c r="J27" s="1"/>
      <c r="K27" s="1"/>
      <c r="L27" s="1"/>
      <c r="M27" s="1"/>
      <c r="N27" s="1"/>
      <c r="O27" s="1"/>
      <c r="P27" s="1"/>
      <c r="Q27" s="1"/>
      <c r="R27" s="1"/>
      <c r="S27" s="1"/>
      <c r="T27" s="1"/>
      <c r="U27" s="1"/>
      <c r="V27" s="1"/>
      <c r="W27" s="1"/>
      <c r="X27" s="1"/>
    </row>
    <row r="28" spans="1:24" ht="12.75" customHeight="1" x14ac:dyDescent="0.15">
      <c r="A28" s="1"/>
      <c r="B28" s="1"/>
      <c r="C28" s="1"/>
      <c r="D28" s="1"/>
      <c r="E28" s="1"/>
      <c r="F28" s="1"/>
      <c r="G28" s="1"/>
      <c r="H28" s="1"/>
      <c r="I28" s="1"/>
      <c r="J28" s="1"/>
      <c r="K28" s="1"/>
      <c r="L28" s="1"/>
      <c r="M28" s="1"/>
      <c r="N28" s="1"/>
      <c r="O28" s="1"/>
      <c r="P28" s="1"/>
      <c r="Q28" s="1"/>
      <c r="R28" s="1"/>
      <c r="S28" s="1"/>
      <c r="T28" s="1"/>
      <c r="U28" s="1"/>
      <c r="V28" s="1"/>
      <c r="W28" s="1"/>
      <c r="X28" s="1"/>
    </row>
    <row r="29" spans="1:24" ht="12.75" customHeight="1" x14ac:dyDescent="0.15">
      <c r="A29" s="1"/>
      <c r="B29" s="1"/>
      <c r="C29" s="1"/>
      <c r="D29" s="1"/>
      <c r="E29" s="1"/>
      <c r="F29" s="1"/>
      <c r="G29" s="1"/>
      <c r="H29" s="1"/>
      <c r="I29" s="1"/>
      <c r="J29" s="1"/>
      <c r="K29" s="1"/>
      <c r="L29" s="1"/>
      <c r="M29" s="1"/>
      <c r="N29" s="1"/>
      <c r="O29" s="1"/>
      <c r="P29" s="1"/>
      <c r="Q29" s="1"/>
      <c r="R29" s="1"/>
      <c r="S29" s="1"/>
      <c r="T29" s="1"/>
      <c r="U29" s="1"/>
      <c r="V29" s="1"/>
      <c r="W29" s="1"/>
      <c r="X29" s="1"/>
    </row>
    <row r="30" spans="1:24" ht="12.75" customHeight="1" x14ac:dyDescent="0.15">
      <c r="A30" s="1"/>
      <c r="B30" s="1"/>
      <c r="C30" s="1"/>
      <c r="D30" s="1"/>
      <c r="E30" s="1"/>
      <c r="F30" s="1"/>
      <c r="G30" s="1"/>
      <c r="H30" s="1"/>
      <c r="I30" s="1"/>
      <c r="J30" s="1"/>
      <c r="K30" s="1"/>
      <c r="L30" s="1"/>
      <c r="M30" s="1"/>
      <c r="N30" s="1"/>
      <c r="O30" s="1"/>
      <c r="P30" s="1"/>
      <c r="Q30" s="1"/>
      <c r="R30" s="1"/>
      <c r="S30" s="1"/>
      <c r="T30" s="1"/>
      <c r="U30" s="1"/>
      <c r="V30" s="1"/>
      <c r="W30" s="1"/>
      <c r="X30" s="1"/>
    </row>
    <row r="31" spans="1:24" ht="12.75" customHeight="1" x14ac:dyDescent="0.15">
      <c r="A31" s="1"/>
      <c r="B31" s="1"/>
      <c r="C31" s="1"/>
      <c r="D31" s="1"/>
      <c r="E31" s="1"/>
      <c r="F31" s="1"/>
      <c r="G31" s="1"/>
      <c r="H31" s="1"/>
      <c r="I31" s="1"/>
      <c r="J31" s="1"/>
      <c r="K31" s="1"/>
      <c r="L31" s="1"/>
      <c r="M31" s="1"/>
      <c r="N31" s="1"/>
      <c r="O31" s="1"/>
      <c r="P31" s="1"/>
      <c r="Q31" s="1"/>
      <c r="R31" s="1"/>
      <c r="S31" s="1"/>
      <c r="T31" s="1"/>
      <c r="U31" s="1"/>
      <c r="V31" s="1"/>
      <c r="W31" s="1"/>
      <c r="X31" s="1"/>
    </row>
    <row r="32" spans="1:24" ht="12.75" customHeight="1" x14ac:dyDescent="0.15">
      <c r="A32" s="1"/>
      <c r="B32" s="1"/>
      <c r="C32" s="1"/>
      <c r="D32" s="1"/>
      <c r="E32" s="1"/>
      <c r="F32" s="1"/>
      <c r="G32" s="1"/>
      <c r="H32" s="1"/>
      <c r="I32" s="1"/>
      <c r="J32" s="1"/>
      <c r="K32" s="1"/>
      <c r="L32" s="1"/>
      <c r="M32" s="1"/>
      <c r="N32" s="1"/>
      <c r="O32" s="1"/>
      <c r="P32" s="1"/>
      <c r="Q32" s="1"/>
      <c r="R32" s="1"/>
      <c r="S32" s="1"/>
      <c r="T32" s="1"/>
      <c r="U32" s="1"/>
      <c r="V32" s="1"/>
      <c r="W32" s="1"/>
      <c r="X32" s="1"/>
    </row>
    <row r="33" spans="1:24" ht="12.75" customHeight="1" x14ac:dyDescent="0.15">
      <c r="A33" s="1"/>
      <c r="B33" s="1"/>
      <c r="C33" s="1"/>
      <c r="D33" s="1"/>
      <c r="E33" s="1"/>
      <c r="F33" s="1"/>
      <c r="G33" s="1"/>
      <c r="H33" s="1"/>
      <c r="I33" s="1"/>
      <c r="J33" s="1"/>
      <c r="K33" s="1"/>
      <c r="L33" s="1"/>
      <c r="M33" s="1"/>
      <c r="N33" s="1"/>
      <c r="O33" s="1"/>
      <c r="P33" s="1"/>
      <c r="Q33" s="1"/>
      <c r="R33" s="1"/>
      <c r="S33" s="1"/>
      <c r="T33" s="1"/>
      <c r="U33" s="1"/>
      <c r="V33" s="1"/>
      <c r="W33" s="1"/>
      <c r="X33" s="1"/>
    </row>
    <row r="34" spans="1:24"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row>
    <row r="35" spans="1:24" ht="12.75" customHeight="1" x14ac:dyDescent="0.15">
      <c r="A35" s="1"/>
      <c r="B35" s="1"/>
      <c r="C35" s="1"/>
      <c r="D35" s="1"/>
      <c r="E35" s="1"/>
      <c r="F35" s="1"/>
      <c r="G35" s="1"/>
      <c r="H35" s="1"/>
      <c r="I35" s="1"/>
      <c r="J35" s="1"/>
      <c r="K35" s="1"/>
      <c r="L35" s="1"/>
      <c r="M35" s="1"/>
      <c r="N35" s="1"/>
      <c r="O35" s="1"/>
      <c r="P35" s="1"/>
      <c r="Q35" s="1"/>
      <c r="R35" s="1"/>
      <c r="S35" s="1"/>
      <c r="T35" s="1"/>
      <c r="U35" s="1"/>
      <c r="V35" s="1"/>
      <c r="W35" s="1"/>
      <c r="X35" s="1"/>
    </row>
    <row r="36" spans="1:24"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row>
    <row r="37" spans="1:24"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row>
    <row r="38" spans="1:24"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row>
    <row r="39" spans="1:24"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row>
    <row r="40" spans="1:24"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row>
    <row r="41" spans="1:24"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row>
    <row r="42" spans="1:24"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row>
    <row r="43" spans="1:24"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row>
    <row r="44" spans="1:24"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row>
    <row r="45" spans="1:24"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row>
    <row r="46" spans="1:24"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row>
    <row r="47" spans="1:24"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row>
    <row r="48" spans="1:24"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row>
    <row r="49" spans="1:24"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row>
    <row r="50" spans="1:24"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row>
    <row r="51" spans="1:24"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row>
    <row r="52" spans="1:24"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row>
    <row r="53" spans="1:24"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row>
    <row r="54" spans="1:24"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row>
    <row r="55" spans="1:24"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row>
    <row r="57" spans="1:24"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row>
    <row r="58" spans="1:24"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row>
    <row r="59" spans="1:24"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row>
    <row r="60" spans="1:24"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row>
    <row r="61" spans="1:24"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row>
    <row r="62" spans="1:24"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row>
    <row r="63" spans="1:24"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row>
    <row r="64" spans="1:24"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row>
    <row r="65" spans="1:24"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row>
    <row r="66" spans="1:24"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row>
    <row r="67" spans="1:24"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row>
    <row r="68" spans="1:24"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row>
    <row r="69" spans="1:24"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row>
    <row r="70" spans="1:24" ht="12.75" customHeight="1" x14ac:dyDescent="0.15">
      <c r="A70" s="1"/>
      <c r="B70" s="1"/>
      <c r="C70" s="1"/>
      <c r="D70" s="1"/>
      <c r="E70" s="1"/>
      <c r="F70" s="1"/>
      <c r="G70" s="1"/>
      <c r="H70" s="1"/>
      <c r="I70" s="1"/>
      <c r="J70" s="1"/>
      <c r="K70" s="1"/>
      <c r="L70" s="1"/>
      <c r="M70" s="1"/>
      <c r="N70" s="1"/>
      <c r="O70" s="1"/>
      <c r="P70" s="1"/>
      <c r="Q70" s="1"/>
      <c r="R70" s="1"/>
      <c r="S70" s="1"/>
      <c r="T70" s="1"/>
      <c r="U70" s="1"/>
      <c r="V70" s="1"/>
      <c r="W70" s="1"/>
      <c r="X70" s="1"/>
    </row>
    <row r="71" spans="1:24"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row>
    <row r="72" spans="1:24"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row>
    <row r="73" spans="1:24"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row>
    <row r="74" spans="1:24"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row>
    <row r="75" spans="1:24" ht="12.75" customHeight="1" x14ac:dyDescent="0.15">
      <c r="A75" s="1"/>
      <c r="B75" s="1"/>
      <c r="C75" s="1"/>
      <c r="D75" s="1"/>
      <c r="E75" s="1"/>
      <c r="F75" s="1"/>
      <c r="G75" s="1"/>
      <c r="H75" s="1"/>
      <c r="I75" s="1"/>
      <c r="J75" s="1"/>
      <c r="K75" s="1"/>
      <c r="L75" s="1"/>
      <c r="M75" s="1"/>
      <c r="N75" s="1"/>
      <c r="O75" s="1"/>
      <c r="P75" s="1"/>
      <c r="Q75" s="1"/>
      <c r="R75" s="1"/>
      <c r="S75" s="1"/>
      <c r="T75" s="1"/>
      <c r="U75" s="1"/>
      <c r="V75" s="1"/>
      <c r="W75" s="1"/>
      <c r="X75" s="1"/>
    </row>
    <row r="76" spans="1:24"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row>
    <row r="77" spans="1:24"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row>
    <row r="78" spans="1:24"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row>
    <row r="79" spans="1:24" ht="12.75" customHeight="1" x14ac:dyDescent="0.15">
      <c r="A79" s="1"/>
      <c r="B79" s="1"/>
      <c r="C79" s="1"/>
      <c r="D79" s="1"/>
      <c r="E79" s="1"/>
      <c r="F79" s="1"/>
      <c r="G79" s="1"/>
      <c r="H79" s="1"/>
      <c r="I79" s="1"/>
      <c r="J79" s="1"/>
      <c r="K79" s="1"/>
      <c r="L79" s="1"/>
      <c r="M79" s="1"/>
      <c r="N79" s="1"/>
      <c r="O79" s="1"/>
      <c r="P79" s="1"/>
      <c r="Q79" s="1"/>
      <c r="R79" s="1"/>
      <c r="S79" s="1"/>
      <c r="T79" s="1"/>
      <c r="U79" s="1"/>
      <c r="V79" s="1"/>
      <c r="W79" s="1"/>
      <c r="X79" s="1"/>
    </row>
    <row r="80" spans="1:24" ht="12.75" customHeight="1" x14ac:dyDescent="0.15">
      <c r="A80" s="1"/>
      <c r="B80" s="1"/>
      <c r="C80" s="1"/>
      <c r="D80" s="1"/>
      <c r="E80" s="1"/>
      <c r="F80" s="1"/>
      <c r="G80" s="1"/>
      <c r="H80" s="1"/>
      <c r="I80" s="1"/>
      <c r="J80" s="1"/>
      <c r="K80" s="1"/>
      <c r="L80" s="1"/>
      <c r="M80" s="1"/>
      <c r="N80" s="1"/>
      <c r="O80" s="1"/>
      <c r="P80" s="1"/>
      <c r="Q80" s="1"/>
      <c r="R80" s="1"/>
      <c r="S80" s="1"/>
      <c r="T80" s="1"/>
      <c r="U80" s="1"/>
      <c r="V80" s="1"/>
      <c r="W80" s="1"/>
      <c r="X80" s="1"/>
    </row>
    <row r="81" spans="1:24"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row>
    <row r="82" spans="1:24"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row>
    <row r="83" spans="1:24"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row>
    <row r="84" spans="1:24"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row>
    <row r="85" spans="1:24"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row>
    <row r="86" spans="1:24"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row>
    <row r="87" spans="1:24"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row>
    <row r="88" spans="1:24"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row>
    <row r="89" spans="1:24"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row>
    <row r="90" spans="1:24"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row>
    <row r="91" spans="1:24"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row>
    <row r="92" spans="1:24"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row>
    <row r="93" spans="1:24"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row>
    <row r="94" spans="1:24"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row>
    <row r="95" spans="1:24"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row>
    <row r="96" spans="1:24"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row>
    <row r="97" spans="1:24"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row>
    <row r="98" spans="1:24"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row>
    <row r="99" spans="1:24"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row>
    <row r="100" spans="1:24"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x14ac:dyDescent="0.15"/>
    <row r="223" spans="1:24" ht="15.75" customHeight="1" x14ac:dyDescent="0.15"/>
    <row r="224" spans="1: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sheetProtection sheet="1" formatCells="0" formatColumns="0" formatRows="0" insertColumns="0" insertRows="0" insertHyperlinks="0" deleteColumns="0" deleteRows="0" sort="0" autoFilter="0" pivotTables="0"/>
  <mergeCells count="19">
    <mergeCell ref="C20:D20"/>
    <mergeCell ref="C21:D21"/>
    <mergeCell ref="C10:D10"/>
    <mergeCell ref="C11:D11"/>
    <mergeCell ref="C12:D12"/>
    <mergeCell ref="C13:D13"/>
    <mergeCell ref="C14:D14"/>
    <mergeCell ref="C15:D15"/>
    <mergeCell ref="C16:D16"/>
    <mergeCell ref="B8:E8"/>
    <mergeCell ref="C9:D9"/>
    <mergeCell ref="C17:D17"/>
    <mergeCell ref="C18:D18"/>
    <mergeCell ref="C19:D19"/>
    <mergeCell ref="A2:C2"/>
    <mergeCell ref="D2:E2"/>
    <mergeCell ref="B5:E5"/>
    <mergeCell ref="B6:E6"/>
    <mergeCell ref="B7:E7"/>
  </mergeCells>
  <hyperlinks>
    <hyperlink ref="B12" location="PQI!A1" display="4." xr:uid="{00000000-0004-0000-0000-000000000000}"/>
  </hyperlinks>
  <printOptions horizontalCentered="1"/>
  <pageMargins left="0.70866141732283472" right="0.70866141732283472" top="0.74803149606299213" bottom="0.74803149606299213"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45090"/>
  </sheetPr>
  <dimension ref="A1:Z1000"/>
  <sheetViews>
    <sheetView workbookViewId="0">
      <selection sqref="A1:G1"/>
    </sheetView>
  </sheetViews>
  <sheetFormatPr baseColWidth="10" defaultColWidth="12.6640625" defaultRowHeight="15" customHeight="1" outlineLevelRow="1" outlineLevelCol="1" x14ac:dyDescent="0.15"/>
  <cols>
    <col min="1" max="1" width="2.5" customWidth="1"/>
    <col min="2" max="2" width="31" customWidth="1"/>
    <col min="3" max="3" width="10.83203125" hidden="1" customWidth="1" outlineLevel="1"/>
    <col min="4" max="4" width="10.83203125" customWidth="1" collapsed="1"/>
    <col min="5" max="9" width="10.83203125" customWidth="1"/>
    <col min="10" max="10" width="11.5" customWidth="1"/>
    <col min="11" max="11" width="4.1640625" customWidth="1"/>
    <col min="12" max="26" width="11.5" customWidth="1"/>
  </cols>
  <sheetData>
    <row r="1" spans="1:26" ht="66" customHeight="1" x14ac:dyDescent="0.15">
      <c r="A1" s="338" t="s">
        <v>16</v>
      </c>
      <c r="B1" s="339"/>
      <c r="C1" s="339"/>
      <c r="D1" s="339"/>
      <c r="E1" s="339"/>
      <c r="F1" s="339"/>
      <c r="G1" s="340"/>
      <c r="H1" s="10"/>
      <c r="I1" s="10"/>
      <c r="J1" s="10"/>
      <c r="K1" s="11"/>
      <c r="L1" s="12"/>
      <c r="M1" s="12"/>
      <c r="N1" s="12"/>
      <c r="O1" s="12"/>
      <c r="P1" s="12"/>
      <c r="Q1" s="12"/>
      <c r="R1" s="12"/>
      <c r="S1" s="12"/>
      <c r="T1" s="12"/>
      <c r="U1" s="12"/>
      <c r="V1" s="12"/>
      <c r="W1" s="12"/>
      <c r="X1" s="12"/>
      <c r="Y1" s="12"/>
      <c r="Z1" s="12"/>
    </row>
    <row r="2" spans="1:26" ht="12.75" customHeight="1" x14ac:dyDescent="0.15">
      <c r="A2" s="12"/>
      <c r="B2" s="341"/>
      <c r="C2" s="324"/>
      <c r="D2" s="324"/>
      <c r="E2" s="324"/>
      <c r="F2" s="324"/>
      <c r="G2" s="324"/>
      <c r="H2" s="324"/>
      <c r="I2" s="324"/>
      <c r="J2" s="12"/>
      <c r="K2" s="12"/>
      <c r="L2" s="12"/>
      <c r="M2" s="12"/>
      <c r="N2" s="12"/>
      <c r="O2" s="12"/>
      <c r="P2" s="12"/>
      <c r="Q2" s="12"/>
      <c r="R2" s="12"/>
      <c r="S2" s="12"/>
      <c r="T2" s="12"/>
      <c r="U2" s="12"/>
      <c r="V2" s="12"/>
      <c r="W2" s="12"/>
      <c r="X2" s="12"/>
      <c r="Y2" s="12"/>
      <c r="Z2" s="12"/>
    </row>
    <row r="3" spans="1:26" ht="12.75" customHeight="1" x14ac:dyDescent="0.15">
      <c r="A3" s="12"/>
      <c r="B3" s="13"/>
      <c r="C3" s="13"/>
      <c r="D3" s="13"/>
      <c r="E3" s="13"/>
      <c r="F3" s="13"/>
      <c r="G3" s="13"/>
      <c r="H3" s="13"/>
      <c r="I3" s="13"/>
      <c r="J3" s="12"/>
      <c r="K3" s="12"/>
      <c r="L3" s="12"/>
      <c r="M3" s="12"/>
      <c r="N3" s="12"/>
      <c r="O3" s="12"/>
      <c r="P3" s="12"/>
      <c r="Q3" s="12"/>
      <c r="R3" s="12"/>
      <c r="S3" s="12"/>
      <c r="T3" s="12"/>
      <c r="U3" s="12"/>
      <c r="V3" s="12"/>
      <c r="W3" s="12"/>
      <c r="X3" s="12"/>
      <c r="Y3" s="12"/>
      <c r="Z3" s="12"/>
    </row>
    <row r="4" spans="1:26" ht="16.5" customHeight="1" x14ac:dyDescent="0.15">
      <c r="A4" s="14"/>
      <c r="B4" s="336" t="s">
        <v>4</v>
      </c>
      <c r="C4" s="324"/>
      <c r="D4" s="324"/>
      <c r="E4" s="324"/>
      <c r="F4" s="324"/>
      <c r="G4" s="324"/>
      <c r="H4" s="324"/>
      <c r="I4" s="324"/>
      <c r="J4" s="324"/>
      <c r="K4" s="14"/>
      <c r="L4" s="12"/>
      <c r="M4" s="12"/>
      <c r="N4" s="12"/>
      <c r="O4" s="12"/>
      <c r="P4" s="12"/>
      <c r="Q4" s="12"/>
      <c r="R4" s="12"/>
      <c r="S4" s="12"/>
      <c r="T4" s="12"/>
      <c r="U4" s="12"/>
      <c r="V4" s="12"/>
      <c r="W4" s="12"/>
      <c r="X4" s="12"/>
      <c r="Y4" s="12"/>
      <c r="Z4" s="12"/>
    </row>
    <row r="5" spans="1:26" ht="15" customHeight="1" x14ac:dyDescent="0.15">
      <c r="A5" s="15"/>
      <c r="B5" s="342" t="s">
        <v>17</v>
      </c>
      <c r="C5" s="324"/>
      <c r="D5" s="324"/>
      <c r="E5" s="324"/>
      <c r="F5" s="324"/>
      <c r="G5" s="324"/>
      <c r="H5" s="324"/>
      <c r="I5" s="324"/>
      <c r="J5" s="324"/>
      <c r="K5" s="15"/>
      <c r="L5" s="12"/>
      <c r="M5" s="12"/>
      <c r="N5" s="12"/>
      <c r="O5" s="12"/>
      <c r="P5" s="12"/>
      <c r="Q5" s="12"/>
      <c r="R5" s="12"/>
      <c r="S5" s="12"/>
      <c r="T5" s="12"/>
      <c r="U5" s="12"/>
      <c r="V5" s="12"/>
      <c r="W5" s="12"/>
      <c r="X5" s="12"/>
      <c r="Y5" s="12"/>
      <c r="Z5" s="12"/>
    </row>
    <row r="6" spans="1:26" ht="38.25" customHeight="1" x14ac:dyDescent="0.15">
      <c r="A6" s="16"/>
      <c r="B6" s="17"/>
      <c r="C6" s="18" t="s">
        <v>18</v>
      </c>
      <c r="D6" s="18" t="s">
        <v>19</v>
      </c>
      <c r="E6" s="18" t="s">
        <v>20</v>
      </c>
      <c r="F6" s="18" t="s">
        <v>21</v>
      </c>
      <c r="G6" s="18" t="s">
        <v>22</v>
      </c>
      <c r="H6" s="18" t="s">
        <v>23</v>
      </c>
      <c r="I6" s="18" t="s">
        <v>24</v>
      </c>
      <c r="J6" s="18" t="s">
        <v>25</v>
      </c>
      <c r="K6" s="16"/>
      <c r="L6" s="12"/>
      <c r="M6" s="12"/>
      <c r="N6" s="12"/>
      <c r="O6" s="12"/>
      <c r="P6" s="12"/>
      <c r="Q6" s="12"/>
      <c r="R6" s="12"/>
      <c r="S6" s="12"/>
      <c r="T6" s="12"/>
      <c r="U6" s="12"/>
      <c r="V6" s="12"/>
      <c r="W6" s="12"/>
      <c r="X6" s="12"/>
      <c r="Y6" s="12"/>
      <c r="Z6" s="12"/>
    </row>
    <row r="7" spans="1:26" ht="7.5" customHeight="1" x14ac:dyDescent="0.15">
      <c r="A7" s="16"/>
      <c r="B7" s="19"/>
      <c r="C7" s="20"/>
      <c r="D7" s="21"/>
      <c r="E7" s="21"/>
      <c r="F7" s="21"/>
      <c r="G7" s="21"/>
      <c r="H7" s="21"/>
      <c r="I7" s="21"/>
      <c r="J7" s="22"/>
      <c r="K7" s="16"/>
      <c r="L7" s="12"/>
      <c r="M7" s="12"/>
      <c r="N7" s="12"/>
      <c r="O7" s="12"/>
      <c r="P7" s="12"/>
      <c r="Q7" s="12"/>
      <c r="R7" s="12"/>
      <c r="S7" s="12"/>
      <c r="T7" s="12"/>
      <c r="U7" s="12"/>
      <c r="V7" s="12"/>
      <c r="W7" s="12"/>
      <c r="X7" s="12"/>
      <c r="Y7" s="12"/>
      <c r="Z7" s="12"/>
    </row>
    <row r="8" spans="1:26" ht="14.25" customHeight="1" x14ac:dyDescent="0.15">
      <c r="A8" s="23"/>
      <c r="B8" s="24" t="s">
        <v>26</v>
      </c>
      <c r="C8" s="25"/>
      <c r="D8" s="25"/>
      <c r="E8" s="25"/>
      <c r="F8" s="25"/>
      <c r="G8" s="25"/>
      <c r="H8" s="25"/>
      <c r="I8" s="26"/>
      <c r="J8" s="27"/>
      <c r="K8" s="23"/>
      <c r="L8" s="12"/>
      <c r="M8" s="12"/>
      <c r="N8" s="12"/>
      <c r="O8" s="12"/>
      <c r="P8" s="12"/>
      <c r="Q8" s="12"/>
      <c r="R8" s="12"/>
      <c r="S8" s="12"/>
      <c r="T8" s="12"/>
      <c r="U8" s="12"/>
      <c r="V8" s="12"/>
      <c r="W8" s="12"/>
      <c r="X8" s="12"/>
      <c r="Y8" s="12"/>
      <c r="Z8" s="12"/>
    </row>
    <row r="9" spans="1:26" ht="14.25" customHeight="1" x14ac:dyDescent="0.15">
      <c r="A9" s="28"/>
      <c r="B9" s="29" t="s">
        <v>27</v>
      </c>
      <c r="C9" s="30">
        <v>34998</v>
      </c>
      <c r="D9" s="30">
        <v>41285</v>
      </c>
      <c r="E9" s="30">
        <v>43414</v>
      </c>
      <c r="F9" s="30">
        <v>45272</v>
      </c>
      <c r="G9" s="30">
        <v>46660</v>
      </c>
      <c r="H9" s="30">
        <v>48519</v>
      </c>
      <c r="I9" s="30">
        <v>50278</v>
      </c>
      <c r="J9" s="31">
        <f t="shared" ref="J9:J17" si="0">(POWER(I9/C9,1/6)-1)*100</f>
        <v>6.2239534872057023</v>
      </c>
      <c r="K9" s="28"/>
      <c r="L9" s="12"/>
      <c r="M9" s="12"/>
      <c r="N9" s="12"/>
      <c r="O9" s="12"/>
      <c r="P9" s="12"/>
      <c r="Q9" s="12"/>
      <c r="R9" s="12"/>
      <c r="S9" s="12"/>
      <c r="T9" s="12"/>
      <c r="U9" s="12"/>
      <c r="V9" s="12"/>
      <c r="W9" s="12"/>
      <c r="X9" s="12"/>
      <c r="Y9" s="12"/>
      <c r="Z9" s="12"/>
    </row>
    <row r="10" spans="1:26" ht="14.25" customHeight="1" x14ac:dyDescent="0.15">
      <c r="A10" s="28"/>
      <c r="B10" s="29" t="s">
        <v>28</v>
      </c>
      <c r="C10" s="30">
        <v>6398</v>
      </c>
      <c r="D10" s="30">
        <v>7367</v>
      </c>
      <c r="E10" s="30">
        <v>7784</v>
      </c>
      <c r="F10" s="30">
        <v>7964</v>
      </c>
      <c r="G10" s="30">
        <v>8187</v>
      </c>
      <c r="H10" s="30">
        <v>8393</v>
      </c>
      <c r="I10" s="30">
        <v>8603</v>
      </c>
      <c r="J10" s="31">
        <f t="shared" si="0"/>
        <v>5.0592463878087024</v>
      </c>
      <c r="K10" s="28"/>
      <c r="L10" s="12"/>
      <c r="M10" s="12"/>
      <c r="N10" s="12"/>
      <c r="O10" s="12"/>
      <c r="P10" s="12"/>
      <c r="Q10" s="12"/>
      <c r="R10" s="12"/>
      <c r="S10" s="12"/>
      <c r="T10" s="12"/>
      <c r="U10" s="12"/>
      <c r="V10" s="12"/>
      <c r="W10" s="12"/>
      <c r="X10" s="12"/>
      <c r="Y10" s="12"/>
      <c r="Z10" s="12"/>
    </row>
    <row r="11" spans="1:26" ht="14.25" customHeight="1" x14ac:dyDescent="0.15">
      <c r="A11" s="28"/>
      <c r="B11" s="29" t="s">
        <v>29</v>
      </c>
      <c r="C11" s="30">
        <v>8951</v>
      </c>
      <c r="D11" s="30">
        <v>12927</v>
      </c>
      <c r="E11" s="30">
        <v>11925</v>
      </c>
      <c r="F11" s="30">
        <v>11867</v>
      </c>
      <c r="G11" s="30">
        <v>12803</v>
      </c>
      <c r="H11" s="30">
        <v>13536</v>
      </c>
      <c r="I11" s="30">
        <v>14131</v>
      </c>
      <c r="J11" s="31">
        <f t="shared" si="0"/>
        <v>7.9071502314063125</v>
      </c>
      <c r="K11" s="28"/>
      <c r="L11" s="12"/>
      <c r="M11" s="12"/>
      <c r="N11" s="12"/>
      <c r="O11" s="12"/>
      <c r="P11" s="12"/>
      <c r="Q11" s="12"/>
      <c r="R11" s="12"/>
      <c r="S11" s="12"/>
      <c r="T11" s="12"/>
      <c r="U11" s="12"/>
      <c r="V11" s="12"/>
      <c r="W11" s="12"/>
      <c r="X11" s="12"/>
      <c r="Y11" s="12"/>
      <c r="Z11" s="12"/>
    </row>
    <row r="12" spans="1:26" ht="14.25" customHeight="1" x14ac:dyDescent="0.15">
      <c r="A12" s="32"/>
      <c r="B12" s="29" t="s">
        <v>30</v>
      </c>
      <c r="C12" s="30">
        <v>1156</v>
      </c>
      <c r="D12" s="30">
        <v>1081</v>
      </c>
      <c r="E12" s="30">
        <v>1048</v>
      </c>
      <c r="F12" s="30">
        <v>1106</v>
      </c>
      <c r="G12" s="30">
        <v>1187</v>
      </c>
      <c r="H12" s="30">
        <v>1251</v>
      </c>
      <c r="I12" s="30">
        <v>1299</v>
      </c>
      <c r="J12" s="31">
        <f t="shared" si="0"/>
        <v>1.9628312360282285</v>
      </c>
      <c r="K12" s="32"/>
      <c r="L12" s="12"/>
      <c r="M12" s="12"/>
      <c r="N12" s="12"/>
      <c r="O12" s="12"/>
      <c r="P12" s="12"/>
      <c r="Q12" s="12"/>
      <c r="R12" s="12"/>
      <c r="S12" s="12"/>
      <c r="T12" s="12"/>
      <c r="U12" s="12"/>
      <c r="V12" s="12"/>
      <c r="W12" s="12"/>
      <c r="X12" s="12"/>
      <c r="Y12" s="12"/>
      <c r="Z12" s="12"/>
    </row>
    <row r="13" spans="1:26" ht="14.25" customHeight="1" x14ac:dyDescent="0.15">
      <c r="A13" s="32"/>
      <c r="B13" s="29" t="s">
        <v>31</v>
      </c>
      <c r="C13" s="30">
        <v>21377</v>
      </c>
      <c r="D13" s="30">
        <v>24673</v>
      </c>
      <c r="E13" s="30">
        <v>27345</v>
      </c>
      <c r="F13" s="30">
        <v>28140</v>
      </c>
      <c r="G13" s="30">
        <v>29006</v>
      </c>
      <c r="H13" s="30">
        <v>29743</v>
      </c>
      <c r="I13" s="30">
        <v>30475</v>
      </c>
      <c r="J13" s="31">
        <f t="shared" si="0"/>
        <v>6.087974951688202</v>
      </c>
      <c r="K13" s="32"/>
      <c r="L13" s="12"/>
      <c r="M13" s="12"/>
      <c r="N13" s="12"/>
      <c r="O13" s="12"/>
      <c r="P13" s="12"/>
      <c r="Q13" s="12"/>
      <c r="R13" s="12"/>
      <c r="S13" s="12"/>
      <c r="T13" s="12"/>
      <c r="U13" s="12"/>
      <c r="V13" s="12"/>
      <c r="W13" s="12"/>
      <c r="X13" s="12"/>
      <c r="Y13" s="12"/>
      <c r="Z13" s="12"/>
    </row>
    <row r="14" spans="1:26" ht="14.25" customHeight="1" x14ac:dyDescent="0.15">
      <c r="A14" s="32"/>
      <c r="B14" s="29" t="s">
        <v>32</v>
      </c>
      <c r="C14" s="30">
        <v>4613</v>
      </c>
      <c r="D14" s="30">
        <v>6049</v>
      </c>
      <c r="E14" s="30">
        <v>5518</v>
      </c>
      <c r="F14" s="30">
        <v>5494</v>
      </c>
      <c r="G14" s="30">
        <v>5544</v>
      </c>
      <c r="H14" s="30">
        <v>5678</v>
      </c>
      <c r="I14" s="30">
        <v>5810</v>
      </c>
      <c r="J14" s="31">
        <f t="shared" si="0"/>
        <v>3.9199142321335811</v>
      </c>
      <c r="K14" s="32"/>
      <c r="L14" s="12"/>
      <c r="M14" s="12"/>
      <c r="N14" s="12"/>
      <c r="O14" s="12"/>
      <c r="P14" s="12"/>
      <c r="Q14" s="12"/>
      <c r="R14" s="12"/>
      <c r="S14" s="12"/>
      <c r="T14" s="12"/>
      <c r="U14" s="12"/>
      <c r="V14" s="12"/>
      <c r="W14" s="12"/>
      <c r="X14" s="12"/>
      <c r="Y14" s="12"/>
      <c r="Z14" s="12"/>
    </row>
    <row r="15" spans="1:26" ht="14.25" customHeight="1" x14ac:dyDescent="0.15">
      <c r="A15" s="32"/>
      <c r="B15" s="29" t="s">
        <v>33</v>
      </c>
      <c r="C15" s="30">
        <v>9884</v>
      </c>
      <c r="D15" s="30">
        <v>10902</v>
      </c>
      <c r="E15" s="30">
        <v>11629</v>
      </c>
      <c r="F15" s="30">
        <v>12450</v>
      </c>
      <c r="G15" s="30">
        <v>13061</v>
      </c>
      <c r="H15" s="30">
        <v>13483</v>
      </c>
      <c r="I15" s="30">
        <v>14051</v>
      </c>
      <c r="J15" s="31">
        <f t="shared" si="0"/>
        <v>6.0382168976300443</v>
      </c>
      <c r="K15" s="32"/>
      <c r="L15" s="12"/>
      <c r="M15" s="12"/>
      <c r="N15" s="12"/>
      <c r="O15" s="12"/>
      <c r="P15" s="12"/>
      <c r="Q15" s="12"/>
      <c r="R15" s="12"/>
      <c r="S15" s="12"/>
      <c r="T15" s="12"/>
      <c r="U15" s="12"/>
      <c r="V15" s="12"/>
      <c r="W15" s="12"/>
      <c r="X15" s="12"/>
      <c r="Y15" s="12"/>
      <c r="Z15" s="12"/>
    </row>
    <row r="16" spans="1:26" ht="14.25" customHeight="1" x14ac:dyDescent="0.15">
      <c r="A16" s="32"/>
      <c r="B16" s="29" t="s">
        <v>34</v>
      </c>
      <c r="C16" s="30">
        <v>4491</v>
      </c>
      <c r="D16" s="30">
        <v>5967</v>
      </c>
      <c r="E16" s="30">
        <v>6207</v>
      </c>
      <c r="F16" s="30">
        <v>6688</v>
      </c>
      <c r="G16" s="30">
        <v>7040</v>
      </c>
      <c r="H16" s="30">
        <v>6713</v>
      </c>
      <c r="I16" s="30">
        <v>6994</v>
      </c>
      <c r="J16" s="31">
        <f t="shared" si="0"/>
        <v>7.6623269465297073</v>
      </c>
      <c r="K16" s="32"/>
      <c r="L16" s="12"/>
      <c r="M16" s="12"/>
      <c r="N16" s="12"/>
      <c r="O16" s="12"/>
      <c r="P16" s="12"/>
      <c r="Q16" s="12"/>
      <c r="R16" s="12"/>
      <c r="S16" s="12"/>
      <c r="T16" s="12"/>
      <c r="U16" s="12"/>
      <c r="V16" s="12"/>
      <c r="W16" s="12"/>
      <c r="X16" s="12"/>
      <c r="Y16" s="12"/>
      <c r="Z16" s="12"/>
    </row>
    <row r="17" spans="1:26" ht="1.5" customHeight="1" x14ac:dyDescent="0.15">
      <c r="A17" s="32"/>
      <c r="B17" s="29"/>
      <c r="C17" s="33"/>
      <c r="D17" s="33"/>
      <c r="E17" s="33"/>
      <c r="F17" s="33"/>
      <c r="G17" s="33"/>
      <c r="H17" s="33"/>
      <c r="I17" s="33"/>
      <c r="J17" s="34" t="e">
        <f t="shared" si="0"/>
        <v>#DIV/0!</v>
      </c>
      <c r="K17" s="32"/>
      <c r="L17" s="12"/>
      <c r="M17" s="12"/>
      <c r="N17" s="12"/>
      <c r="O17" s="12"/>
      <c r="P17" s="12"/>
      <c r="Q17" s="12"/>
      <c r="R17" s="12"/>
      <c r="S17" s="12"/>
      <c r="T17" s="12"/>
      <c r="U17" s="12"/>
      <c r="V17" s="12"/>
      <c r="W17" s="12"/>
      <c r="X17" s="12"/>
      <c r="Y17" s="12"/>
      <c r="Z17" s="12"/>
    </row>
    <row r="18" spans="1:26" ht="14.25" customHeight="1" x14ac:dyDescent="0.15">
      <c r="A18" s="35"/>
      <c r="B18" s="36" t="s">
        <v>35</v>
      </c>
      <c r="C18" s="26">
        <f t="shared" ref="C18:I18" si="1">SUM(C9:C16)</f>
        <v>91868</v>
      </c>
      <c r="D18" s="26">
        <f t="shared" si="1"/>
        <v>110251</v>
      </c>
      <c r="E18" s="26">
        <f t="shared" si="1"/>
        <v>114870</v>
      </c>
      <c r="F18" s="26">
        <f t="shared" si="1"/>
        <v>118981</v>
      </c>
      <c r="G18" s="26">
        <f t="shared" si="1"/>
        <v>123488</v>
      </c>
      <c r="H18" s="26">
        <f t="shared" si="1"/>
        <v>127316</v>
      </c>
      <c r="I18" s="26">
        <f t="shared" si="1"/>
        <v>131641</v>
      </c>
      <c r="J18" s="37"/>
      <c r="K18" s="35"/>
      <c r="L18" s="37"/>
      <c r="M18" s="37"/>
      <c r="N18" s="37"/>
      <c r="O18" s="37"/>
      <c r="P18" s="37"/>
      <c r="Q18" s="37"/>
      <c r="R18" s="37"/>
      <c r="S18" s="37"/>
      <c r="T18" s="37"/>
      <c r="U18" s="37"/>
      <c r="V18" s="37"/>
      <c r="W18" s="37"/>
      <c r="X18" s="37"/>
      <c r="Y18" s="37"/>
      <c r="Z18" s="37"/>
    </row>
    <row r="19" spans="1:26" ht="14.25" customHeight="1" x14ac:dyDescent="0.15">
      <c r="A19" s="32"/>
      <c r="B19" s="38" t="s">
        <v>36</v>
      </c>
      <c r="C19" s="39"/>
      <c r="D19" s="39">
        <v>20.010232072103463</v>
      </c>
      <c r="E19" s="39">
        <f t="shared" ref="E19:I19" si="2">(((E18-D18)/D18))*100</f>
        <v>4.1895311607150951</v>
      </c>
      <c r="F19" s="39">
        <f t="shared" si="2"/>
        <v>3.5788282406198308</v>
      </c>
      <c r="G19" s="39">
        <f t="shared" si="2"/>
        <v>3.7879997646683079</v>
      </c>
      <c r="H19" s="39">
        <f t="shared" si="2"/>
        <v>3.0998963462036797</v>
      </c>
      <c r="I19" s="39">
        <f t="shared" si="2"/>
        <v>3.3970592855571962</v>
      </c>
      <c r="J19" s="39">
        <f>(POWER(I18/C18,1/6)-1)*100</f>
        <v>6.1788014002546188</v>
      </c>
      <c r="K19" s="32"/>
      <c r="L19" s="40"/>
      <c r="M19" s="40"/>
      <c r="N19" s="40"/>
      <c r="O19" s="40"/>
      <c r="P19" s="40"/>
      <c r="Q19" s="40"/>
      <c r="R19" s="40"/>
      <c r="S19" s="40"/>
      <c r="T19" s="40"/>
      <c r="U19" s="40"/>
      <c r="V19" s="40"/>
      <c r="W19" s="40"/>
      <c r="X19" s="40"/>
      <c r="Y19" s="40"/>
      <c r="Z19" s="40"/>
    </row>
    <row r="20" spans="1:26" ht="6" customHeight="1" x14ac:dyDescent="0.15">
      <c r="A20" s="32"/>
      <c r="B20" s="38"/>
      <c r="C20" s="39"/>
      <c r="D20" s="39"/>
      <c r="E20" s="39"/>
      <c r="F20" s="39"/>
      <c r="G20" s="39"/>
      <c r="H20" s="39"/>
      <c r="I20" s="39"/>
      <c r="J20" s="41"/>
      <c r="K20" s="32"/>
      <c r="L20" s="40"/>
      <c r="M20" s="40"/>
      <c r="N20" s="40"/>
      <c r="O20" s="40"/>
      <c r="P20" s="40"/>
      <c r="Q20" s="40"/>
      <c r="R20" s="40"/>
      <c r="S20" s="40"/>
      <c r="T20" s="40"/>
      <c r="U20" s="40"/>
      <c r="V20" s="40"/>
      <c r="W20" s="40"/>
      <c r="X20" s="40"/>
      <c r="Y20" s="40"/>
      <c r="Z20" s="40"/>
    </row>
    <row r="21" spans="1:26" ht="14.25" customHeight="1" x14ac:dyDescent="0.15">
      <c r="A21" s="35"/>
      <c r="B21" s="36" t="s">
        <v>37</v>
      </c>
      <c r="C21" s="26">
        <v>30716</v>
      </c>
      <c r="D21" s="26">
        <v>29141</v>
      </c>
      <c r="E21" s="26">
        <v>29600</v>
      </c>
      <c r="F21" s="26">
        <v>29631</v>
      </c>
      <c r="G21" s="26">
        <v>29921</v>
      </c>
      <c r="H21" s="26">
        <v>31813</v>
      </c>
      <c r="I21" s="26">
        <v>32345</v>
      </c>
      <c r="J21" s="12"/>
      <c r="K21" s="35"/>
      <c r="L21" s="12"/>
      <c r="M21" s="12"/>
      <c r="N21" s="12"/>
      <c r="O21" s="12"/>
      <c r="P21" s="12"/>
      <c r="Q21" s="12"/>
      <c r="R21" s="12"/>
      <c r="S21" s="12"/>
      <c r="T21" s="12"/>
      <c r="U21" s="12"/>
      <c r="V21" s="12"/>
      <c r="W21" s="12"/>
      <c r="X21" s="12"/>
      <c r="Y21" s="12"/>
      <c r="Z21" s="12"/>
    </row>
    <row r="22" spans="1:26" ht="14.25" customHeight="1" x14ac:dyDescent="0.15">
      <c r="A22" s="28"/>
      <c r="B22" s="38" t="s">
        <v>36</v>
      </c>
      <c r="C22" s="39"/>
      <c r="D22" s="39">
        <v>-5.127620783956246</v>
      </c>
      <c r="E22" s="39">
        <f t="shared" ref="E22:I22" si="3">(((E21-D21)/D21))*100</f>
        <v>1.5751003740434439</v>
      </c>
      <c r="F22" s="39">
        <f t="shared" si="3"/>
        <v>0.10472972972972973</v>
      </c>
      <c r="G22" s="39">
        <f t="shared" si="3"/>
        <v>0.97870473490601051</v>
      </c>
      <c r="H22" s="39">
        <f t="shared" si="3"/>
        <v>6.3233180709200889</v>
      </c>
      <c r="I22" s="39">
        <f t="shared" si="3"/>
        <v>1.6722723414956151</v>
      </c>
      <c r="J22" s="39">
        <f>(POWER(I21/C21,1/6)-1)*100</f>
        <v>0.86498217107586761</v>
      </c>
      <c r="K22" s="28"/>
      <c r="L22" s="42"/>
      <c r="M22" s="42"/>
      <c r="N22" s="42"/>
      <c r="O22" s="42"/>
      <c r="P22" s="42"/>
      <c r="Q22" s="42"/>
      <c r="R22" s="42"/>
      <c r="S22" s="42"/>
      <c r="T22" s="42"/>
      <c r="U22" s="42"/>
      <c r="V22" s="42"/>
      <c r="W22" s="42"/>
      <c r="X22" s="42"/>
      <c r="Y22" s="42"/>
      <c r="Z22" s="42"/>
    </row>
    <row r="23" spans="1:26" ht="14.25" customHeight="1" x14ac:dyDescent="0.15">
      <c r="A23" s="43"/>
      <c r="B23" s="24" t="s">
        <v>38</v>
      </c>
      <c r="C23" s="44">
        <f t="shared" ref="C23:I23" si="4">C21+C18</f>
        <v>122584</v>
      </c>
      <c r="D23" s="44">
        <f t="shared" si="4"/>
        <v>139392</v>
      </c>
      <c r="E23" s="44">
        <f t="shared" si="4"/>
        <v>144470</v>
      </c>
      <c r="F23" s="44">
        <f t="shared" si="4"/>
        <v>148612</v>
      </c>
      <c r="G23" s="44">
        <f t="shared" si="4"/>
        <v>153409</v>
      </c>
      <c r="H23" s="44">
        <f t="shared" si="4"/>
        <v>159129</v>
      </c>
      <c r="I23" s="44">
        <f t="shared" si="4"/>
        <v>163986</v>
      </c>
      <c r="J23" s="45"/>
      <c r="K23" s="43"/>
      <c r="L23" s="37"/>
      <c r="M23" s="37"/>
      <c r="N23" s="37"/>
      <c r="O23" s="37"/>
      <c r="P23" s="37"/>
      <c r="Q23" s="37"/>
      <c r="R23" s="37"/>
      <c r="S23" s="37"/>
      <c r="T23" s="37"/>
      <c r="U23" s="37"/>
      <c r="V23" s="37"/>
      <c r="W23" s="37"/>
      <c r="X23" s="37"/>
      <c r="Y23" s="37"/>
      <c r="Z23" s="37"/>
    </row>
    <row r="24" spans="1:26" ht="14.25" customHeight="1" x14ac:dyDescent="0.15">
      <c r="A24" s="46"/>
      <c r="B24" s="47" t="s">
        <v>36</v>
      </c>
      <c r="C24" s="31"/>
      <c r="D24" s="31">
        <v>13.711414213926787</v>
      </c>
      <c r="E24" s="31">
        <f t="shared" ref="E24:I24" si="5">(((E23-D23)/D23))*100</f>
        <v>3.6429637281910008</v>
      </c>
      <c r="F24" s="31">
        <f t="shared" si="5"/>
        <v>2.8670312175538175</v>
      </c>
      <c r="G24" s="31">
        <f t="shared" si="5"/>
        <v>3.2278685435900201</v>
      </c>
      <c r="H24" s="31">
        <f t="shared" si="5"/>
        <v>3.7285948021302531</v>
      </c>
      <c r="I24" s="31">
        <f t="shared" si="5"/>
        <v>3.052240634956545</v>
      </c>
      <c r="J24" s="31">
        <f>(POWER(I23/C23,1/6)-1)*100</f>
        <v>4.9692668692160158</v>
      </c>
      <c r="K24" s="46"/>
      <c r="L24" s="40"/>
      <c r="M24" s="40"/>
      <c r="N24" s="40"/>
      <c r="O24" s="40"/>
      <c r="P24" s="40"/>
      <c r="Q24" s="40"/>
      <c r="R24" s="40"/>
      <c r="S24" s="40"/>
      <c r="T24" s="40"/>
      <c r="U24" s="40"/>
      <c r="V24" s="40"/>
      <c r="W24" s="40"/>
      <c r="X24" s="40"/>
      <c r="Y24" s="40"/>
      <c r="Z24" s="40"/>
    </row>
    <row r="25" spans="1:26" ht="7.5" customHeight="1" x14ac:dyDescent="0.15">
      <c r="A25" s="46"/>
      <c r="B25" s="48"/>
      <c r="C25" s="49"/>
      <c r="D25" s="49"/>
      <c r="E25" s="49"/>
      <c r="F25" s="49"/>
      <c r="G25" s="49"/>
      <c r="H25" s="49"/>
      <c r="I25" s="49"/>
      <c r="J25" s="40"/>
      <c r="K25" s="46"/>
      <c r="L25" s="40"/>
      <c r="M25" s="40"/>
      <c r="N25" s="40"/>
      <c r="O25" s="40"/>
      <c r="P25" s="40"/>
      <c r="Q25" s="40"/>
      <c r="R25" s="40"/>
      <c r="S25" s="40"/>
      <c r="T25" s="40"/>
      <c r="U25" s="40"/>
      <c r="V25" s="40"/>
      <c r="W25" s="40"/>
      <c r="X25" s="40"/>
      <c r="Y25" s="40"/>
      <c r="Z25" s="40"/>
    </row>
    <row r="26" spans="1:26" ht="14.25" customHeight="1" x14ac:dyDescent="0.15">
      <c r="A26" s="43"/>
      <c r="B26" s="50" t="s">
        <v>39</v>
      </c>
      <c r="C26" s="51"/>
      <c r="D26" s="51"/>
      <c r="E26" s="51"/>
      <c r="F26" s="51"/>
      <c r="G26" s="51"/>
      <c r="H26" s="51"/>
      <c r="I26" s="51"/>
      <c r="J26" s="52"/>
      <c r="K26" s="43"/>
      <c r="L26" s="37"/>
      <c r="M26" s="37"/>
      <c r="N26" s="37"/>
      <c r="O26" s="37"/>
      <c r="P26" s="37"/>
      <c r="Q26" s="37"/>
      <c r="R26" s="37"/>
      <c r="S26" s="37"/>
      <c r="T26" s="37"/>
      <c r="U26" s="37"/>
      <c r="V26" s="37"/>
      <c r="W26" s="37"/>
      <c r="X26" s="37"/>
      <c r="Y26" s="37"/>
      <c r="Z26" s="37"/>
    </row>
    <row r="27" spans="1:26" ht="15" customHeight="1" outlineLevel="1" x14ac:dyDescent="0.15">
      <c r="A27" s="32"/>
      <c r="B27" s="53" t="s">
        <v>40</v>
      </c>
      <c r="C27" s="54">
        <v>-46529.4</v>
      </c>
      <c r="D27" s="54">
        <v>-50415.8</v>
      </c>
      <c r="E27" s="54">
        <v>-54299.4</v>
      </c>
      <c r="F27" s="54">
        <v>-58753</v>
      </c>
      <c r="G27" s="54">
        <v>-61170</v>
      </c>
      <c r="H27" s="55"/>
      <c r="I27" s="55"/>
      <c r="J27" s="56"/>
      <c r="K27" s="32"/>
      <c r="L27" s="12"/>
      <c r="M27" s="12"/>
      <c r="N27" s="12"/>
      <c r="O27" s="12"/>
      <c r="P27" s="12"/>
      <c r="Q27" s="12"/>
      <c r="R27" s="12"/>
      <c r="S27" s="12"/>
      <c r="T27" s="12"/>
      <c r="U27" s="12"/>
      <c r="V27" s="12"/>
      <c r="W27" s="12"/>
      <c r="X27" s="12"/>
      <c r="Y27" s="12"/>
      <c r="Z27" s="12"/>
    </row>
    <row r="28" spans="1:26" ht="15" customHeight="1" outlineLevel="1" x14ac:dyDescent="0.15">
      <c r="A28" s="32"/>
      <c r="B28" s="57" t="s">
        <v>36</v>
      </c>
      <c r="C28" s="58"/>
      <c r="D28" s="58">
        <f t="shared" ref="D28:E28" si="6">D27/(C27)*100-100</f>
        <v>8.3525684835824308</v>
      </c>
      <c r="E28" s="58">
        <f t="shared" si="6"/>
        <v>7.7031406820877493</v>
      </c>
      <c r="F28" s="58">
        <f t="shared" ref="F28:G28" si="7">F27/E27*100-100</f>
        <v>8.2019322497117741</v>
      </c>
      <c r="G28" s="58">
        <f t="shared" si="7"/>
        <v>4.1138324851496861</v>
      </c>
      <c r="H28" s="58"/>
      <c r="I28" s="58"/>
      <c r="J28" s="59"/>
      <c r="K28" s="32"/>
      <c r="L28" s="42"/>
      <c r="M28" s="42"/>
      <c r="N28" s="42"/>
      <c r="O28" s="42"/>
      <c r="P28" s="42"/>
      <c r="Q28" s="42"/>
      <c r="R28" s="42"/>
      <c r="S28" s="42"/>
      <c r="T28" s="42"/>
      <c r="U28" s="42"/>
      <c r="V28" s="42"/>
      <c r="W28" s="42"/>
      <c r="X28" s="42"/>
      <c r="Y28" s="42"/>
      <c r="Z28" s="42"/>
    </row>
    <row r="29" spans="1:26" ht="15" customHeight="1" outlineLevel="1" x14ac:dyDescent="0.15">
      <c r="A29" s="28"/>
      <c r="B29" s="60" t="s">
        <v>41</v>
      </c>
      <c r="C29" s="54">
        <v>-16566.400000000001</v>
      </c>
      <c r="D29" s="54">
        <v>-17655.5</v>
      </c>
      <c r="E29" s="54">
        <v>-19212</v>
      </c>
      <c r="F29" s="54">
        <v>-20248</v>
      </c>
      <c r="G29" s="54">
        <v>-20947</v>
      </c>
      <c r="H29" s="55"/>
      <c r="I29" s="55"/>
      <c r="J29" s="61"/>
      <c r="K29" s="28"/>
      <c r="L29" s="42"/>
      <c r="M29" s="42"/>
      <c r="N29" s="42"/>
      <c r="O29" s="42"/>
      <c r="P29" s="42"/>
      <c r="Q29" s="42"/>
      <c r="R29" s="42"/>
      <c r="S29" s="42"/>
      <c r="T29" s="42"/>
      <c r="U29" s="42"/>
      <c r="V29" s="42"/>
      <c r="W29" s="42"/>
      <c r="X29" s="42"/>
      <c r="Y29" s="42"/>
      <c r="Z29" s="42"/>
    </row>
    <row r="30" spans="1:26" ht="15" customHeight="1" outlineLevel="1" x14ac:dyDescent="0.15">
      <c r="A30" s="32"/>
      <c r="B30" s="57" t="s">
        <v>36</v>
      </c>
      <c r="C30" s="58"/>
      <c r="D30" s="58">
        <f t="shared" ref="D30:G30" si="8">D29/C29*100-100</f>
        <v>6.574150086922927</v>
      </c>
      <c r="E30" s="58">
        <f t="shared" si="8"/>
        <v>8.8159497040582409</v>
      </c>
      <c r="F30" s="58">
        <f t="shared" si="8"/>
        <v>5.3924630439308885</v>
      </c>
      <c r="G30" s="58">
        <f t="shared" si="8"/>
        <v>3.4521928091663341</v>
      </c>
      <c r="H30" s="58"/>
      <c r="I30" s="58"/>
      <c r="J30" s="59"/>
      <c r="K30" s="32"/>
      <c r="L30" s="42"/>
      <c r="M30" s="42"/>
      <c r="N30" s="42"/>
      <c r="O30" s="42"/>
      <c r="P30" s="42"/>
      <c r="Q30" s="42"/>
      <c r="R30" s="42"/>
      <c r="S30" s="42"/>
      <c r="T30" s="42"/>
      <c r="U30" s="42"/>
      <c r="V30" s="42"/>
      <c r="W30" s="42"/>
      <c r="X30" s="42"/>
      <c r="Y30" s="42"/>
      <c r="Z30" s="42"/>
    </row>
    <row r="31" spans="1:26" ht="15" customHeight="1" outlineLevel="1" x14ac:dyDescent="0.15">
      <c r="A31" s="32"/>
      <c r="B31" s="53" t="s">
        <v>42</v>
      </c>
      <c r="C31" s="54">
        <v>-8278.2999999999993</v>
      </c>
      <c r="D31" s="54">
        <v>-8517.9</v>
      </c>
      <c r="E31" s="54">
        <v>-10231</v>
      </c>
      <c r="F31" s="54">
        <v>-10717</v>
      </c>
      <c r="G31" s="54">
        <v>-11067</v>
      </c>
      <c r="H31" s="55"/>
      <c r="I31" s="55"/>
      <c r="J31" s="59"/>
      <c r="K31" s="32"/>
      <c r="L31" s="42"/>
      <c r="M31" s="42"/>
      <c r="N31" s="42"/>
      <c r="O31" s="42"/>
      <c r="P31" s="42"/>
      <c r="Q31" s="42"/>
      <c r="R31" s="42"/>
      <c r="S31" s="42"/>
      <c r="T31" s="42"/>
      <c r="U31" s="42"/>
      <c r="V31" s="42"/>
      <c r="W31" s="42"/>
      <c r="X31" s="42"/>
      <c r="Y31" s="42"/>
      <c r="Z31" s="42"/>
    </row>
    <row r="32" spans="1:26" ht="15" customHeight="1" outlineLevel="1" x14ac:dyDescent="0.15">
      <c r="A32" s="32"/>
      <c r="B32" s="57" t="s">
        <v>36</v>
      </c>
      <c r="C32" s="58"/>
      <c r="D32" s="58">
        <f t="shared" ref="D32:G32" si="9">D31/C31*100-100</f>
        <v>2.8943140499861073</v>
      </c>
      <c r="E32" s="58">
        <f t="shared" si="9"/>
        <v>20.111764636823622</v>
      </c>
      <c r="F32" s="58">
        <f t="shared" si="9"/>
        <v>4.7502687909295247</v>
      </c>
      <c r="G32" s="58">
        <f t="shared" si="9"/>
        <v>3.2658393207054104</v>
      </c>
      <c r="H32" s="58"/>
      <c r="I32" s="58"/>
      <c r="J32" s="59"/>
      <c r="K32" s="32"/>
      <c r="L32" s="42"/>
      <c r="M32" s="42"/>
      <c r="N32" s="42"/>
      <c r="O32" s="42"/>
      <c r="P32" s="42"/>
      <c r="Q32" s="42"/>
      <c r="R32" s="42"/>
      <c r="S32" s="42"/>
      <c r="T32" s="42"/>
      <c r="U32" s="42"/>
      <c r="V32" s="42"/>
      <c r="W32" s="42"/>
      <c r="X32" s="42"/>
      <c r="Y32" s="42"/>
      <c r="Z32" s="42"/>
    </row>
    <row r="33" spans="1:26" ht="15" customHeight="1" outlineLevel="1" x14ac:dyDescent="0.15">
      <c r="A33" s="32"/>
      <c r="B33" s="60" t="s">
        <v>43</v>
      </c>
      <c r="C33" s="54">
        <v>-6680.3</v>
      </c>
      <c r="D33" s="54">
        <v>-7418</v>
      </c>
      <c r="E33" s="54">
        <v>-8060</v>
      </c>
      <c r="F33" s="54">
        <v>-8301</v>
      </c>
      <c r="G33" s="54">
        <v>-8417</v>
      </c>
      <c r="H33" s="54"/>
      <c r="I33" s="55"/>
      <c r="J33" s="59"/>
      <c r="K33" s="32"/>
      <c r="L33" s="42"/>
      <c r="M33" s="42"/>
      <c r="N33" s="42"/>
      <c r="O33" s="42"/>
      <c r="P33" s="42"/>
      <c r="Q33" s="42"/>
      <c r="R33" s="42"/>
      <c r="S33" s="42"/>
      <c r="T33" s="42"/>
      <c r="U33" s="42"/>
      <c r="V33" s="42"/>
      <c r="W33" s="42"/>
      <c r="X33" s="42"/>
      <c r="Y33" s="42"/>
      <c r="Z33" s="42"/>
    </row>
    <row r="34" spans="1:26" ht="15" customHeight="1" outlineLevel="1" x14ac:dyDescent="0.15">
      <c r="A34" s="32"/>
      <c r="B34" s="57" t="s">
        <v>36</v>
      </c>
      <c r="C34" s="58"/>
      <c r="D34" s="58">
        <f t="shared" ref="D34:G34" si="10">D33/C33*100-100</f>
        <v>11.042917234255938</v>
      </c>
      <c r="E34" s="58">
        <f t="shared" si="10"/>
        <v>8.6546238878404012</v>
      </c>
      <c r="F34" s="58">
        <f t="shared" si="10"/>
        <v>2.990074441687355</v>
      </c>
      <c r="G34" s="58">
        <f t="shared" si="10"/>
        <v>1.39742199734971</v>
      </c>
      <c r="H34" s="58"/>
      <c r="I34" s="58"/>
      <c r="J34" s="59"/>
      <c r="K34" s="32"/>
      <c r="L34" s="42"/>
      <c r="M34" s="42"/>
      <c r="N34" s="42"/>
      <c r="O34" s="42"/>
      <c r="P34" s="42"/>
      <c r="Q34" s="42"/>
      <c r="R34" s="42"/>
      <c r="S34" s="42"/>
      <c r="T34" s="42"/>
      <c r="U34" s="42"/>
      <c r="V34" s="42"/>
      <c r="W34" s="42"/>
      <c r="X34" s="42"/>
      <c r="Y34" s="42"/>
      <c r="Z34" s="42"/>
    </row>
    <row r="35" spans="1:26" ht="15" customHeight="1" outlineLevel="1" x14ac:dyDescent="0.15">
      <c r="A35" s="32"/>
      <c r="B35" s="53" t="s">
        <v>44</v>
      </c>
      <c r="C35" s="54">
        <v>-5202.8</v>
      </c>
      <c r="D35" s="54">
        <v>-6858.1</v>
      </c>
      <c r="E35" s="54">
        <v>-6775.7</v>
      </c>
      <c r="F35" s="54">
        <v>-6906</v>
      </c>
      <c r="G35" s="54">
        <v>-8217</v>
      </c>
      <c r="H35" s="54"/>
      <c r="I35" s="54"/>
      <c r="J35" s="59"/>
      <c r="K35" s="32"/>
      <c r="L35" s="42"/>
      <c r="M35" s="42"/>
      <c r="N35" s="42"/>
      <c r="O35" s="42"/>
      <c r="P35" s="42"/>
      <c r="Q35" s="42"/>
      <c r="R35" s="42"/>
      <c r="S35" s="42"/>
      <c r="T35" s="42"/>
      <c r="U35" s="42"/>
      <c r="V35" s="42"/>
      <c r="W35" s="42"/>
      <c r="X35" s="42"/>
      <c r="Y35" s="42"/>
      <c r="Z35" s="42"/>
    </row>
    <row r="36" spans="1:26" ht="15" customHeight="1" outlineLevel="1" x14ac:dyDescent="0.15">
      <c r="A36" s="32"/>
      <c r="B36" s="57" t="s">
        <v>36</v>
      </c>
      <c r="C36" s="58"/>
      <c r="D36" s="58">
        <f t="shared" ref="D36:G36" si="11">D35/C35*100-100</f>
        <v>31.815560851849</v>
      </c>
      <c r="E36" s="58">
        <f t="shared" si="11"/>
        <v>-1.2014989574371953</v>
      </c>
      <c r="F36" s="58">
        <f t="shared" si="11"/>
        <v>1.9230485411101341</v>
      </c>
      <c r="G36" s="58">
        <f t="shared" si="11"/>
        <v>18.983492615117285</v>
      </c>
      <c r="H36" s="58"/>
      <c r="I36" s="58"/>
      <c r="J36" s="59"/>
      <c r="K36" s="32"/>
      <c r="L36" s="42"/>
      <c r="M36" s="42"/>
      <c r="N36" s="42"/>
      <c r="O36" s="42"/>
      <c r="P36" s="42"/>
      <c r="Q36" s="42"/>
      <c r="R36" s="42"/>
      <c r="S36" s="42"/>
      <c r="T36" s="42"/>
      <c r="U36" s="42"/>
      <c r="V36" s="42"/>
      <c r="W36" s="42"/>
      <c r="X36" s="42"/>
      <c r="Y36" s="42"/>
      <c r="Z36" s="42"/>
    </row>
    <row r="37" spans="1:26" ht="15" customHeight="1" outlineLevel="1" x14ac:dyDescent="0.15">
      <c r="A37" s="32"/>
      <c r="B37" s="53" t="s">
        <v>45</v>
      </c>
      <c r="C37" s="54">
        <v>-4771.6000000000004</v>
      </c>
      <c r="D37" s="54">
        <v>-8727.9</v>
      </c>
      <c r="E37" s="54">
        <v>-5666.7</v>
      </c>
      <c r="F37" s="54">
        <v>-5571</v>
      </c>
      <c r="G37" s="54">
        <v>-5525</v>
      </c>
      <c r="H37" s="54"/>
      <c r="I37" s="54"/>
      <c r="J37" s="59"/>
      <c r="K37" s="32"/>
      <c r="L37" s="42"/>
      <c r="M37" s="42"/>
      <c r="N37" s="42"/>
      <c r="O37" s="42"/>
      <c r="P37" s="42"/>
      <c r="Q37" s="42"/>
      <c r="R37" s="42"/>
      <c r="S37" s="42"/>
      <c r="T37" s="42"/>
      <c r="U37" s="42"/>
      <c r="V37" s="42"/>
      <c r="W37" s="42"/>
      <c r="X37" s="42"/>
      <c r="Y37" s="42"/>
      <c r="Z37" s="42"/>
    </row>
    <row r="38" spans="1:26" ht="15" customHeight="1" outlineLevel="1" x14ac:dyDescent="0.15">
      <c r="A38" s="32"/>
      <c r="B38" s="57" t="s">
        <v>36</v>
      </c>
      <c r="C38" s="58"/>
      <c r="D38" s="58">
        <f t="shared" ref="D38:G38" si="12">D37/C37*100-100</f>
        <v>82.913488138150683</v>
      </c>
      <c r="E38" s="58">
        <f t="shared" si="12"/>
        <v>-35.073729075722682</v>
      </c>
      <c r="F38" s="58">
        <f t="shared" si="12"/>
        <v>-1.6888135952141425</v>
      </c>
      <c r="G38" s="58">
        <f t="shared" si="12"/>
        <v>-0.82570454137498928</v>
      </c>
      <c r="H38" s="58"/>
      <c r="I38" s="58"/>
      <c r="J38" s="59"/>
      <c r="K38" s="32"/>
      <c r="L38" s="42"/>
      <c r="M38" s="42"/>
      <c r="N38" s="42"/>
      <c r="O38" s="42"/>
      <c r="P38" s="42"/>
      <c r="Q38" s="42"/>
      <c r="R38" s="42"/>
      <c r="S38" s="42"/>
      <c r="T38" s="42"/>
      <c r="U38" s="42"/>
      <c r="V38" s="42"/>
      <c r="W38" s="42"/>
      <c r="X38" s="42"/>
      <c r="Y38" s="42"/>
      <c r="Z38" s="42"/>
    </row>
    <row r="39" spans="1:26" ht="15" customHeight="1" outlineLevel="1" x14ac:dyDescent="0.15">
      <c r="A39" s="32"/>
      <c r="B39" s="53" t="s">
        <v>46</v>
      </c>
      <c r="C39" s="54">
        <v>-3083.6</v>
      </c>
      <c r="D39" s="54">
        <v>-3609</v>
      </c>
      <c r="E39" s="54">
        <v>-4399</v>
      </c>
      <c r="F39" s="54">
        <v>-4417</v>
      </c>
      <c r="G39" s="54">
        <v>-4427</v>
      </c>
      <c r="H39" s="54"/>
      <c r="I39" s="54"/>
      <c r="J39" s="59"/>
      <c r="K39" s="32"/>
      <c r="L39" s="42"/>
      <c r="M39" s="42"/>
      <c r="N39" s="42"/>
      <c r="O39" s="42"/>
      <c r="P39" s="42"/>
      <c r="Q39" s="42"/>
      <c r="R39" s="42"/>
      <c r="S39" s="42"/>
      <c r="T39" s="42"/>
      <c r="U39" s="42"/>
      <c r="V39" s="42"/>
      <c r="W39" s="42"/>
      <c r="X39" s="42"/>
      <c r="Y39" s="42"/>
      <c r="Z39" s="42"/>
    </row>
    <row r="40" spans="1:26" ht="15" customHeight="1" outlineLevel="1" x14ac:dyDescent="0.15">
      <c r="A40" s="32"/>
      <c r="B40" s="57" t="s">
        <v>36</v>
      </c>
      <c r="C40" s="58"/>
      <c r="D40" s="58">
        <f t="shared" ref="D40:G40" si="13">D39/C39*100-100</f>
        <v>17.038526397716964</v>
      </c>
      <c r="E40" s="58">
        <f t="shared" si="13"/>
        <v>21.889720144084237</v>
      </c>
      <c r="F40" s="58">
        <f t="shared" si="13"/>
        <v>0.4091839054330535</v>
      </c>
      <c r="G40" s="58">
        <f t="shared" si="13"/>
        <v>0.22639800769752583</v>
      </c>
      <c r="H40" s="58"/>
      <c r="I40" s="58"/>
      <c r="J40" s="59"/>
      <c r="K40" s="32"/>
      <c r="L40" s="42"/>
      <c r="M40" s="42"/>
      <c r="N40" s="42"/>
      <c r="O40" s="42"/>
      <c r="P40" s="42"/>
      <c r="Q40" s="42"/>
      <c r="R40" s="42"/>
      <c r="S40" s="42"/>
      <c r="T40" s="42"/>
      <c r="U40" s="42"/>
      <c r="V40" s="42"/>
      <c r="W40" s="42"/>
      <c r="X40" s="42"/>
      <c r="Y40" s="42"/>
      <c r="Z40" s="42"/>
    </row>
    <row r="41" spans="1:26" ht="15" customHeight="1" outlineLevel="1" x14ac:dyDescent="0.15">
      <c r="A41" s="32"/>
      <c r="B41" s="53" t="s">
        <v>47</v>
      </c>
      <c r="C41" s="54">
        <v>-2843</v>
      </c>
      <c r="D41" s="54">
        <v>-2574</v>
      </c>
      <c r="E41" s="54">
        <v>-3641.5</v>
      </c>
      <c r="F41" s="54">
        <v>-3321.5</v>
      </c>
      <c r="G41" s="54">
        <v>-3267</v>
      </c>
      <c r="H41" s="54"/>
      <c r="I41" s="54"/>
      <c r="J41" s="59"/>
      <c r="K41" s="32"/>
      <c r="L41" s="42"/>
      <c r="M41" s="42"/>
      <c r="N41" s="42"/>
      <c r="O41" s="42"/>
      <c r="P41" s="42"/>
      <c r="Q41" s="42"/>
      <c r="R41" s="42"/>
      <c r="S41" s="42"/>
      <c r="T41" s="42"/>
      <c r="U41" s="42"/>
      <c r="V41" s="42"/>
      <c r="W41" s="42"/>
      <c r="X41" s="42"/>
      <c r="Y41" s="42"/>
      <c r="Z41" s="42"/>
    </row>
    <row r="42" spans="1:26" ht="15" customHeight="1" outlineLevel="1" x14ac:dyDescent="0.15">
      <c r="A42" s="32"/>
      <c r="B42" s="57" t="s">
        <v>36</v>
      </c>
      <c r="C42" s="58"/>
      <c r="D42" s="58">
        <f t="shared" ref="D42:G42" si="14">D41/C41*100-100</f>
        <v>-9.461836088638762</v>
      </c>
      <c r="E42" s="58">
        <f t="shared" si="14"/>
        <v>41.472416472416455</v>
      </c>
      <c r="F42" s="58">
        <f t="shared" si="14"/>
        <v>-8.7875875326101891</v>
      </c>
      <c r="G42" s="58">
        <f t="shared" si="14"/>
        <v>-1.6408249284961585</v>
      </c>
      <c r="H42" s="58"/>
      <c r="I42" s="58"/>
      <c r="J42" s="59"/>
      <c r="K42" s="32"/>
      <c r="L42" s="42"/>
      <c r="M42" s="42"/>
      <c r="N42" s="42"/>
      <c r="O42" s="42"/>
      <c r="P42" s="42"/>
      <c r="Q42" s="42"/>
      <c r="R42" s="42"/>
      <c r="S42" s="42"/>
      <c r="T42" s="42"/>
      <c r="U42" s="42"/>
      <c r="V42" s="42"/>
      <c r="W42" s="42"/>
      <c r="X42" s="42"/>
      <c r="Y42" s="42"/>
      <c r="Z42" s="42"/>
    </row>
    <row r="43" spans="1:26" ht="12.75" customHeight="1" outlineLevel="1" x14ac:dyDescent="0.15">
      <c r="A43" s="32"/>
      <c r="B43" s="53" t="s">
        <v>48</v>
      </c>
      <c r="C43" s="62">
        <v>-1154</v>
      </c>
      <c r="D43" s="62">
        <v>-1850</v>
      </c>
      <c r="E43" s="62">
        <v>-2233</v>
      </c>
      <c r="F43" s="62">
        <v>-2213</v>
      </c>
      <c r="G43" s="62">
        <v>-2198</v>
      </c>
      <c r="H43" s="54"/>
      <c r="I43" s="54"/>
      <c r="J43" s="59"/>
      <c r="K43" s="32"/>
      <c r="L43" s="42"/>
      <c r="M43" s="42"/>
      <c r="N43" s="42"/>
      <c r="O43" s="42"/>
      <c r="P43" s="42"/>
      <c r="Q43" s="42"/>
      <c r="R43" s="42"/>
      <c r="S43" s="42"/>
      <c r="T43" s="42"/>
      <c r="U43" s="42"/>
      <c r="V43" s="42"/>
      <c r="W43" s="42"/>
      <c r="X43" s="42"/>
      <c r="Y43" s="42"/>
      <c r="Z43" s="42"/>
    </row>
    <row r="44" spans="1:26" ht="15" customHeight="1" outlineLevel="1" x14ac:dyDescent="0.15">
      <c r="A44" s="32"/>
      <c r="B44" s="57" t="s">
        <v>36</v>
      </c>
      <c r="C44" s="58"/>
      <c r="D44" s="58">
        <f t="shared" ref="D44:G44" si="15">D43/C43*100-100</f>
        <v>60.311958405545937</v>
      </c>
      <c r="E44" s="58">
        <f t="shared" si="15"/>
        <v>20.702702702702709</v>
      </c>
      <c r="F44" s="58">
        <f t="shared" si="15"/>
        <v>-0.89565606806985443</v>
      </c>
      <c r="G44" s="58">
        <f t="shared" si="15"/>
        <v>-0.6778129236330841</v>
      </c>
      <c r="H44" s="58"/>
      <c r="I44" s="58"/>
      <c r="J44" s="59"/>
      <c r="K44" s="32"/>
      <c r="L44" s="42"/>
      <c r="M44" s="42"/>
      <c r="N44" s="42"/>
      <c r="O44" s="42"/>
      <c r="P44" s="42"/>
      <c r="Q44" s="42"/>
      <c r="R44" s="42"/>
      <c r="S44" s="42"/>
      <c r="T44" s="42"/>
      <c r="U44" s="42"/>
      <c r="V44" s="42"/>
      <c r="W44" s="42"/>
      <c r="X44" s="42"/>
      <c r="Y44" s="42"/>
      <c r="Z44" s="42"/>
    </row>
    <row r="45" spans="1:26" ht="15" customHeight="1" outlineLevel="1" x14ac:dyDescent="0.15">
      <c r="A45" s="32"/>
      <c r="B45" s="53" t="s">
        <v>49</v>
      </c>
      <c r="C45" s="54">
        <v>-11016.600000000002</v>
      </c>
      <c r="D45" s="54">
        <v>-10645.8</v>
      </c>
      <c r="E45" s="54">
        <v>-13635.7</v>
      </c>
      <c r="F45" s="54">
        <v>-14024.5</v>
      </c>
      <c r="G45" s="54">
        <v>-13135</v>
      </c>
      <c r="H45" s="54"/>
      <c r="I45" s="54"/>
      <c r="J45" s="59"/>
      <c r="K45" s="32"/>
      <c r="L45" s="42"/>
      <c r="M45" s="42"/>
      <c r="N45" s="42"/>
      <c r="O45" s="42"/>
      <c r="P45" s="42"/>
      <c r="Q45" s="42"/>
      <c r="R45" s="42"/>
      <c r="S45" s="42"/>
      <c r="T45" s="42"/>
      <c r="U45" s="42"/>
      <c r="V45" s="42"/>
      <c r="W45" s="42"/>
      <c r="X45" s="42"/>
      <c r="Y45" s="42"/>
      <c r="Z45" s="42"/>
    </row>
    <row r="46" spans="1:26" ht="15" customHeight="1" outlineLevel="1" x14ac:dyDescent="0.15">
      <c r="A46" s="32"/>
      <c r="B46" s="57" t="s">
        <v>36</v>
      </c>
      <c r="C46" s="58"/>
      <c r="D46" s="58">
        <f t="shared" ref="D46:G46" si="16">D45/C45*100-100</f>
        <v>-3.3658297478351074</v>
      </c>
      <c r="E46" s="58">
        <f t="shared" si="16"/>
        <v>28.085254278682697</v>
      </c>
      <c r="F46" s="58">
        <f t="shared" si="16"/>
        <v>2.8513387651532156</v>
      </c>
      <c r="G46" s="58">
        <f t="shared" si="16"/>
        <v>-6.3424721023922359</v>
      </c>
      <c r="H46" s="58"/>
      <c r="I46" s="58"/>
      <c r="J46" s="59"/>
      <c r="K46" s="32"/>
      <c r="L46" s="42"/>
      <c r="M46" s="42"/>
      <c r="N46" s="42"/>
      <c r="O46" s="42"/>
      <c r="P46" s="42"/>
      <c r="Q46" s="42"/>
      <c r="R46" s="42"/>
      <c r="S46" s="42"/>
      <c r="T46" s="42"/>
      <c r="U46" s="42"/>
      <c r="V46" s="42"/>
      <c r="W46" s="42"/>
      <c r="X46" s="42"/>
      <c r="Y46" s="42"/>
      <c r="Z46" s="42"/>
    </row>
    <row r="47" spans="1:26" ht="1.5" customHeight="1" outlineLevel="1" x14ac:dyDescent="0.15">
      <c r="A47" s="32"/>
      <c r="B47" s="53"/>
      <c r="C47" s="63"/>
      <c r="D47" s="63"/>
      <c r="E47" s="63"/>
      <c r="F47" s="63"/>
      <c r="G47" s="63"/>
      <c r="H47" s="63"/>
      <c r="I47" s="63"/>
      <c r="J47" s="64"/>
      <c r="K47" s="32"/>
      <c r="L47" s="12"/>
      <c r="M47" s="12"/>
      <c r="N47" s="12"/>
      <c r="O47" s="12"/>
      <c r="P47" s="12"/>
      <c r="Q47" s="12"/>
      <c r="R47" s="12"/>
      <c r="S47" s="12"/>
      <c r="T47" s="12"/>
      <c r="U47" s="12"/>
      <c r="V47" s="12"/>
      <c r="W47" s="12"/>
      <c r="X47" s="12"/>
      <c r="Y47" s="12"/>
      <c r="Z47" s="12"/>
    </row>
    <row r="48" spans="1:26" ht="14.25" customHeight="1" x14ac:dyDescent="0.15">
      <c r="A48" s="35"/>
      <c r="B48" s="65" t="s">
        <v>50</v>
      </c>
      <c r="C48" s="66">
        <f t="shared" ref="C48:G48" si="17">C27+C29+C31+C33+C35+C37+C39+C41+C43+C45</f>
        <v>-106126.00000000003</v>
      </c>
      <c r="D48" s="66">
        <f t="shared" si="17"/>
        <v>-118272</v>
      </c>
      <c r="E48" s="66">
        <f t="shared" si="17"/>
        <v>-128153.99999999999</v>
      </c>
      <c r="F48" s="66">
        <f t="shared" si="17"/>
        <v>-134472</v>
      </c>
      <c r="G48" s="66">
        <f t="shared" si="17"/>
        <v>-138370</v>
      </c>
      <c r="H48" s="66">
        <v>-144246</v>
      </c>
      <c r="I48" s="66">
        <v>-147959</v>
      </c>
      <c r="J48" s="67"/>
      <c r="K48" s="35"/>
      <c r="L48" s="67"/>
      <c r="M48" s="67"/>
      <c r="N48" s="67"/>
      <c r="O48" s="67"/>
      <c r="P48" s="67"/>
      <c r="Q48" s="67"/>
      <c r="R48" s="67"/>
      <c r="S48" s="67"/>
      <c r="T48" s="67"/>
      <c r="U48" s="67"/>
      <c r="V48" s="67"/>
      <c r="W48" s="67"/>
      <c r="X48" s="67"/>
      <c r="Y48" s="67"/>
      <c r="Z48" s="67"/>
    </row>
    <row r="49" spans="1:26" ht="14.25" customHeight="1" x14ac:dyDescent="0.15">
      <c r="A49" s="32"/>
      <c r="B49" s="57" t="s">
        <v>36</v>
      </c>
      <c r="C49" s="58"/>
      <c r="D49" s="58">
        <f t="shared" ref="D49:I49" si="18">D48/C48*100-100</f>
        <v>11.444886267267179</v>
      </c>
      <c r="E49" s="58">
        <f t="shared" si="18"/>
        <v>8.3553165584415439</v>
      </c>
      <c r="F49" s="58">
        <f t="shared" si="18"/>
        <v>4.9300060864272837</v>
      </c>
      <c r="G49" s="58">
        <f t="shared" si="18"/>
        <v>2.8987447200904199</v>
      </c>
      <c r="H49" s="58">
        <f t="shared" si="18"/>
        <v>4.246585242465855</v>
      </c>
      <c r="I49" s="58">
        <f t="shared" si="18"/>
        <v>2.5740748443630963</v>
      </c>
      <c r="J49" s="58">
        <f>(POWER(I48/C48,1/6)-1)*100</f>
        <v>5.6947133633548752</v>
      </c>
      <c r="K49" s="32"/>
      <c r="L49" s="42"/>
      <c r="M49" s="42"/>
      <c r="N49" s="42"/>
      <c r="O49" s="42"/>
      <c r="P49" s="42"/>
      <c r="Q49" s="42"/>
      <c r="R49" s="42"/>
      <c r="S49" s="42"/>
      <c r="T49" s="42"/>
      <c r="U49" s="42"/>
      <c r="V49" s="42"/>
      <c r="W49" s="42"/>
      <c r="X49" s="42"/>
      <c r="Y49" s="42"/>
      <c r="Z49" s="42"/>
    </row>
    <row r="50" spans="1:26" ht="6" customHeight="1" x14ac:dyDescent="0.15">
      <c r="A50" s="32"/>
      <c r="B50" s="57"/>
      <c r="C50" s="58"/>
      <c r="D50" s="58"/>
      <c r="E50" s="58"/>
      <c r="F50" s="58"/>
      <c r="G50" s="58"/>
      <c r="H50" s="58"/>
      <c r="I50" s="58"/>
      <c r="J50" s="59"/>
      <c r="K50" s="32"/>
      <c r="L50" s="42"/>
      <c r="M50" s="42"/>
      <c r="N50" s="42"/>
      <c r="O50" s="42"/>
      <c r="P50" s="42"/>
      <c r="Q50" s="42"/>
      <c r="R50" s="42"/>
      <c r="S50" s="42"/>
      <c r="T50" s="42"/>
      <c r="U50" s="42"/>
      <c r="V50" s="42"/>
      <c r="W50" s="42"/>
      <c r="X50" s="42"/>
      <c r="Y50" s="42"/>
      <c r="Z50" s="42"/>
    </row>
    <row r="51" spans="1:26" ht="14.25" customHeight="1" x14ac:dyDescent="0.15">
      <c r="A51" s="35"/>
      <c r="B51" s="65" t="s">
        <v>51</v>
      </c>
      <c r="C51" s="66">
        <v>-7689</v>
      </c>
      <c r="D51" s="66">
        <v>-8619</v>
      </c>
      <c r="E51" s="66">
        <v>-10189</v>
      </c>
      <c r="F51" s="66">
        <v>-9000</v>
      </c>
      <c r="G51" s="66">
        <v>-9888</v>
      </c>
      <c r="H51" s="66">
        <v>-9990</v>
      </c>
      <c r="I51" s="66">
        <v>-10808</v>
      </c>
      <c r="J51" s="12"/>
      <c r="K51" s="35"/>
      <c r="L51" s="12"/>
      <c r="M51" s="12"/>
      <c r="N51" s="12"/>
      <c r="O51" s="12"/>
      <c r="P51" s="12"/>
      <c r="Q51" s="12"/>
      <c r="R51" s="12"/>
      <c r="S51" s="12"/>
      <c r="T51" s="12"/>
      <c r="U51" s="12"/>
      <c r="V51" s="12"/>
      <c r="W51" s="12"/>
      <c r="X51" s="12"/>
      <c r="Y51" s="12"/>
      <c r="Z51" s="12"/>
    </row>
    <row r="52" spans="1:26" ht="14.25" customHeight="1" x14ac:dyDescent="0.15">
      <c r="A52" s="32"/>
      <c r="B52" s="57" t="s">
        <v>36</v>
      </c>
      <c r="C52" s="58"/>
      <c r="D52" s="58">
        <f t="shared" ref="D52:I52" si="19">D51/C51*100-100</f>
        <v>12.095200936402662</v>
      </c>
      <c r="E52" s="58">
        <f t="shared" si="19"/>
        <v>18.215570251769336</v>
      </c>
      <c r="F52" s="58">
        <f t="shared" si="19"/>
        <v>-11.669447443321218</v>
      </c>
      <c r="G52" s="58">
        <f t="shared" si="19"/>
        <v>9.8666666666666742</v>
      </c>
      <c r="H52" s="58">
        <f t="shared" si="19"/>
        <v>1.0315533980582501</v>
      </c>
      <c r="I52" s="58">
        <f t="shared" si="19"/>
        <v>8.1881881881881782</v>
      </c>
      <c r="J52" s="58">
        <f>(POWER(I51/C51,1/6)-1)*100</f>
        <v>5.8390450046294617</v>
      </c>
      <c r="K52" s="32"/>
      <c r="L52" s="42"/>
      <c r="M52" s="42"/>
      <c r="N52" s="42"/>
      <c r="O52" s="42"/>
      <c r="P52" s="42"/>
      <c r="Q52" s="42"/>
      <c r="R52" s="42"/>
      <c r="S52" s="42"/>
      <c r="T52" s="42"/>
      <c r="U52" s="42"/>
      <c r="V52" s="42"/>
      <c r="W52" s="42"/>
      <c r="X52" s="42"/>
      <c r="Y52" s="42"/>
      <c r="Z52" s="42"/>
    </row>
    <row r="53" spans="1:26" ht="14.25" customHeight="1" x14ac:dyDescent="0.15">
      <c r="A53" s="35"/>
      <c r="B53" s="50" t="s">
        <v>52</v>
      </c>
      <c r="C53" s="68">
        <f t="shared" ref="C53:I53" si="20">C48+C51</f>
        <v>-113815.00000000003</v>
      </c>
      <c r="D53" s="68">
        <f t="shared" si="20"/>
        <v>-126891</v>
      </c>
      <c r="E53" s="68">
        <f t="shared" si="20"/>
        <v>-138343</v>
      </c>
      <c r="F53" s="68">
        <f t="shared" si="20"/>
        <v>-143472</v>
      </c>
      <c r="G53" s="68">
        <f t="shared" si="20"/>
        <v>-148258</v>
      </c>
      <c r="H53" s="68">
        <f t="shared" si="20"/>
        <v>-154236</v>
      </c>
      <c r="I53" s="68">
        <f t="shared" si="20"/>
        <v>-158767</v>
      </c>
      <c r="J53" s="69"/>
      <c r="K53" s="35"/>
      <c r="L53" s="37"/>
      <c r="M53" s="37"/>
      <c r="N53" s="37"/>
      <c r="O53" s="37"/>
      <c r="P53" s="37"/>
      <c r="Q53" s="37"/>
      <c r="R53" s="37"/>
      <c r="S53" s="37"/>
      <c r="T53" s="37"/>
      <c r="U53" s="37"/>
      <c r="V53" s="37"/>
      <c r="W53" s="37"/>
      <c r="X53" s="37"/>
      <c r="Y53" s="37"/>
      <c r="Z53" s="37"/>
    </row>
    <row r="54" spans="1:26" ht="14.25" customHeight="1" x14ac:dyDescent="0.15">
      <c r="A54" s="32"/>
      <c r="B54" s="70" t="s">
        <v>36</v>
      </c>
      <c r="C54" s="56"/>
      <c r="D54" s="56">
        <f>D53/C53*100-100</f>
        <v>11.48881957562709</v>
      </c>
      <c r="E54" s="56">
        <f t="shared" ref="E54:I54" si="21">(((E53-D53)/D53))*100</f>
        <v>9.0250687598017194</v>
      </c>
      <c r="F54" s="56">
        <f t="shared" si="21"/>
        <v>3.7074517684306398</v>
      </c>
      <c r="G54" s="56">
        <f t="shared" si="21"/>
        <v>3.3358425337348057</v>
      </c>
      <c r="H54" s="56">
        <f t="shared" si="21"/>
        <v>4.0321601532463678</v>
      </c>
      <c r="I54" s="56">
        <f t="shared" si="21"/>
        <v>2.9377058533675666</v>
      </c>
      <c r="J54" s="56">
        <f>(POWER(I53/C53,1/6)-1)*100</f>
        <v>5.7044950607574085</v>
      </c>
      <c r="K54" s="32"/>
      <c r="L54" s="40"/>
      <c r="M54" s="40"/>
      <c r="N54" s="40"/>
      <c r="O54" s="40"/>
      <c r="P54" s="40"/>
      <c r="Q54" s="40"/>
      <c r="R54" s="40"/>
      <c r="S54" s="40"/>
      <c r="T54" s="40"/>
      <c r="U54" s="40"/>
      <c r="V54" s="40"/>
      <c r="W54" s="40"/>
      <c r="X54" s="40"/>
      <c r="Y54" s="40"/>
      <c r="Z54" s="40"/>
    </row>
    <row r="55" spans="1:26" ht="6" customHeight="1" x14ac:dyDescent="0.15">
      <c r="A55" s="32"/>
      <c r="B55" s="71"/>
      <c r="C55" s="72"/>
      <c r="D55" s="72"/>
      <c r="E55" s="72"/>
      <c r="F55" s="72"/>
      <c r="G55" s="72"/>
      <c r="H55" s="72"/>
      <c r="I55" s="72"/>
      <c r="J55" s="73"/>
      <c r="K55" s="32"/>
      <c r="L55" s="40"/>
      <c r="M55" s="40"/>
      <c r="N55" s="40"/>
      <c r="O55" s="40"/>
      <c r="P55" s="40"/>
      <c r="Q55" s="40"/>
      <c r="R55" s="40"/>
      <c r="S55" s="40"/>
      <c r="T55" s="40"/>
      <c r="U55" s="40"/>
      <c r="V55" s="40"/>
      <c r="W55" s="40"/>
      <c r="X55" s="40"/>
      <c r="Y55" s="40"/>
      <c r="Z55" s="40"/>
    </row>
    <row r="56" spans="1:26" ht="12.75" customHeight="1" x14ac:dyDescent="0.15">
      <c r="A56" s="35"/>
      <c r="B56" s="74" t="s">
        <v>53</v>
      </c>
      <c r="C56" s="75">
        <v>-12995</v>
      </c>
      <c r="D56" s="75">
        <v>-9178</v>
      </c>
      <c r="E56" s="75">
        <v>-2355</v>
      </c>
      <c r="F56" s="75">
        <v>-462</v>
      </c>
      <c r="G56" s="75">
        <v>-18</v>
      </c>
      <c r="H56" s="75">
        <v>0</v>
      </c>
      <c r="I56" s="75">
        <v>0</v>
      </c>
      <c r="J56" s="76"/>
      <c r="K56" s="35"/>
      <c r="L56" s="12"/>
      <c r="M56" s="12"/>
      <c r="N56" s="12"/>
      <c r="O56" s="12"/>
      <c r="P56" s="12"/>
      <c r="Q56" s="12"/>
      <c r="R56" s="12"/>
      <c r="S56" s="12"/>
      <c r="T56" s="12"/>
      <c r="U56" s="12"/>
      <c r="V56" s="12"/>
      <c r="W56" s="12"/>
      <c r="X56" s="12"/>
      <c r="Y56" s="12"/>
      <c r="Z56" s="12"/>
    </row>
    <row r="57" spans="1:26" ht="12.75" customHeight="1" x14ac:dyDescent="0.15">
      <c r="A57" s="35"/>
      <c r="B57" s="74" t="s">
        <v>54</v>
      </c>
      <c r="C57" s="75">
        <v>0</v>
      </c>
      <c r="D57" s="75">
        <v>0</v>
      </c>
      <c r="E57" s="75">
        <v>-2000</v>
      </c>
      <c r="F57" s="75">
        <v>-2000</v>
      </c>
      <c r="G57" s="75">
        <v>-2000</v>
      </c>
      <c r="H57" s="75">
        <v>-2000</v>
      </c>
      <c r="I57" s="75">
        <v>-2000</v>
      </c>
      <c r="J57" s="76"/>
      <c r="K57" s="35"/>
      <c r="L57" s="12"/>
      <c r="M57" s="12"/>
      <c r="N57" s="12"/>
      <c r="O57" s="12"/>
      <c r="P57" s="12"/>
      <c r="Q57" s="12"/>
      <c r="R57" s="12"/>
      <c r="S57" s="12"/>
      <c r="T57" s="12"/>
      <c r="U57" s="12"/>
      <c r="V57" s="12"/>
      <c r="W57" s="12"/>
      <c r="X57" s="12"/>
      <c r="Y57" s="12"/>
      <c r="Z57" s="12"/>
    </row>
    <row r="58" spans="1:26" ht="14.25" customHeight="1" x14ac:dyDescent="0.15">
      <c r="A58" s="35"/>
      <c r="B58" s="77" t="s">
        <v>55</v>
      </c>
      <c r="C58" s="78">
        <f t="shared" ref="C58:I58" si="22">ROUND(C57+C53+C23+C56,6)</f>
        <v>-4226</v>
      </c>
      <c r="D58" s="78">
        <f t="shared" si="22"/>
        <v>3323</v>
      </c>
      <c r="E58" s="78">
        <f t="shared" si="22"/>
        <v>1772</v>
      </c>
      <c r="F58" s="78">
        <f t="shared" si="22"/>
        <v>2678</v>
      </c>
      <c r="G58" s="78">
        <f t="shared" si="22"/>
        <v>3133</v>
      </c>
      <c r="H58" s="78">
        <f t="shared" si="22"/>
        <v>2893</v>
      </c>
      <c r="I58" s="78">
        <f t="shared" si="22"/>
        <v>3219</v>
      </c>
      <c r="J58" s="79"/>
      <c r="K58" s="35"/>
      <c r="L58" s="37"/>
      <c r="M58" s="37"/>
      <c r="N58" s="37"/>
      <c r="O58" s="37"/>
      <c r="P58" s="37"/>
      <c r="Q58" s="37"/>
      <c r="R58" s="37"/>
      <c r="S58" s="37"/>
      <c r="T58" s="37"/>
      <c r="U58" s="37"/>
      <c r="V58" s="37"/>
      <c r="W58" s="37"/>
      <c r="X58" s="37"/>
      <c r="Y58" s="37"/>
      <c r="Z58" s="37"/>
    </row>
    <row r="59" spans="1:26" ht="6" customHeight="1" x14ac:dyDescent="0.15">
      <c r="A59" s="35"/>
      <c r="B59" s="80"/>
      <c r="C59" s="81"/>
      <c r="D59" s="81"/>
      <c r="E59" s="81"/>
      <c r="F59" s="81"/>
      <c r="G59" s="81"/>
      <c r="H59" s="81"/>
      <c r="I59" s="81"/>
      <c r="J59" s="82"/>
      <c r="K59" s="35"/>
      <c r="L59" s="37"/>
      <c r="M59" s="37"/>
      <c r="N59" s="37"/>
      <c r="O59" s="37"/>
      <c r="P59" s="37"/>
      <c r="Q59" s="37"/>
      <c r="R59" s="37"/>
      <c r="S59" s="37"/>
      <c r="T59" s="37"/>
      <c r="U59" s="37"/>
      <c r="V59" s="37"/>
      <c r="W59" s="37"/>
      <c r="X59" s="37"/>
      <c r="Y59" s="37"/>
      <c r="Z59" s="37"/>
    </row>
    <row r="60" spans="1:26" ht="14.25" customHeight="1" x14ac:dyDescent="0.15">
      <c r="A60" s="83"/>
      <c r="B60" s="84" t="s">
        <v>56</v>
      </c>
      <c r="C60" s="85"/>
      <c r="D60" s="85"/>
      <c r="E60" s="85"/>
      <c r="F60" s="85"/>
      <c r="G60" s="85"/>
      <c r="H60" s="85"/>
      <c r="I60" s="85"/>
      <c r="J60" s="82"/>
      <c r="K60" s="83"/>
      <c r="L60" s="37"/>
      <c r="M60" s="37"/>
      <c r="N60" s="37"/>
      <c r="O60" s="37"/>
      <c r="P60" s="37"/>
      <c r="Q60" s="37"/>
      <c r="R60" s="37"/>
      <c r="S60" s="37"/>
      <c r="T60" s="37"/>
      <c r="U60" s="37"/>
      <c r="V60" s="37"/>
      <c r="W60" s="37"/>
      <c r="X60" s="37"/>
      <c r="Y60" s="37"/>
      <c r="Z60" s="37"/>
    </row>
    <row r="61" spans="1:26" ht="6" customHeight="1" x14ac:dyDescent="0.15">
      <c r="A61" s="83"/>
      <c r="B61" s="84"/>
      <c r="C61" s="85"/>
      <c r="D61" s="85"/>
      <c r="E61" s="85"/>
      <c r="F61" s="85"/>
      <c r="G61" s="85"/>
      <c r="H61" s="85"/>
      <c r="I61" s="85"/>
      <c r="J61" s="82"/>
      <c r="K61" s="83"/>
      <c r="L61" s="37"/>
      <c r="M61" s="37"/>
      <c r="N61" s="37"/>
      <c r="O61" s="37"/>
      <c r="P61" s="37"/>
      <c r="Q61" s="37"/>
      <c r="R61" s="37"/>
      <c r="S61" s="37"/>
      <c r="T61" s="37"/>
      <c r="U61" s="37"/>
      <c r="V61" s="37"/>
      <c r="W61" s="37"/>
      <c r="X61" s="37"/>
      <c r="Y61" s="37"/>
      <c r="Z61" s="37"/>
    </row>
    <row r="62" spans="1:26" ht="42" customHeight="1" x14ac:dyDescent="0.15">
      <c r="A62" s="83"/>
      <c r="B62" s="86" t="s">
        <v>57</v>
      </c>
      <c r="C62" s="75">
        <v>-3313</v>
      </c>
      <c r="D62" s="75">
        <v>-3617</v>
      </c>
      <c r="E62" s="75">
        <v>-3428</v>
      </c>
      <c r="F62" s="75">
        <v>-3955</v>
      </c>
      <c r="G62" s="75">
        <v>-4546</v>
      </c>
      <c r="H62" s="75">
        <v>-4800</v>
      </c>
      <c r="I62" s="75">
        <v>-5163</v>
      </c>
      <c r="J62" s="76"/>
      <c r="K62" s="83"/>
      <c r="L62" s="12"/>
      <c r="M62" s="12"/>
      <c r="N62" s="12"/>
      <c r="O62" s="12"/>
      <c r="P62" s="12"/>
      <c r="Q62" s="12"/>
      <c r="R62" s="12"/>
      <c r="S62" s="12"/>
      <c r="T62" s="12"/>
      <c r="U62" s="12"/>
      <c r="V62" s="12"/>
      <c r="W62" s="12"/>
      <c r="X62" s="12"/>
      <c r="Y62" s="12"/>
      <c r="Z62" s="12"/>
    </row>
    <row r="63" spans="1:26" ht="6" hidden="1" customHeight="1" outlineLevel="1" x14ac:dyDescent="0.15">
      <c r="A63" s="83"/>
      <c r="B63" s="84"/>
      <c r="C63" s="85"/>
      <c r="D63" s="85"/>
      <c r="E63" s="85"/>
      <c r="F63" s="85"/>
      <c r="G63" s="85"/>
      <c r="H63" s="85"/>
      <c r="I63" s="85"/>
      <c r="J63" s="82"/>
      <c r="K63" s="83"/>
      <c r="L63" s="37"/>
      <c r="M63" s="37"/>
      <c r="N63" s="37"/>
      <c r="O63" s="37"/>
      <c r="P63" s="37"/>
      <c r="Q63" s="37"/>
      <c r="R63" s="37"/>
      <c r="S63" s="37"/>
      <c r="T63" s="37"/>
      <c r="U63" s="37"/>
      <c r="V63" s="37"/>
      <c r="W63" s="37"/>
      <c r="X63" s="37"/>
      <c r="Y63" s="37"/>
      <c r="Z63" s="37"/>
    </row>
    <row r="64" spans="1:26" ht="12.75" hidden="1" customHeight="1" outlineLevel="1" x14ac:dyDescent="0.15">
      <c r="A64" s="83"/>
      <c r="B64" s="86" t="s">
        <v>58</v>
      </c>
      <c r="C64" s="75">
        <v>-3221</v>
      </c>
      <c r="D64" s="75">
        <v>0</v>
      </c>
      <c r="E64" s="75">
        <v>0</v>
      </c>
      <c r="F64" s="75">
        <v>0</v>
      </c>
      <c r="G64" s="75">
        <v>0</v>
      </c>
      <c r="H64" s="75">
        <v>0</v>
      </c>
      <c r="I64" s="75">
        <v>0</v>
      </c>
      <c r="J64" s="76"/>
      <c r="K64" s="83"/>
      <c r="L64" s="12"/>
      <c r="M64" s="12"/>
      <c r="N64" s="12"/>
      <c r="O64" s="12"/>
      <c r="P64" s="12"/>
      <c r="Q64" s="12"/>
      <c r="R64" s="12"/>
      <c r="S64" s="12"/>
      <c r="T64" s="12"/>
      <c r="U64" s="12"/>
      <c r="V64" s="12"/>
      <c r="W64" s="12"/>
      <c r="X64" s="12"/>
      <c r="Y64" s="12"/>
      <c r="Z64" s="12"/>
    </row>
    <row r="65" spans="1:26" ht="6" customHeight="1" collapsed="1" x14ac:dyDescent="0.15">
      <c r="A65" s="87"/>
      <c r="B65" s="86"/>
      <c r="C65" s="88"/>
      <c r="D65" s="88"/>
      <c r="E65" s="88"/>
      <c r="F65" s="88"/>
      <c r="G65" s="88"/>
      <c r="H65" s="88"/>
      <c r="I65" s="88"/>
      <c r="J65" s="76"/>
      <c r="K65" s="87"/>
      <c r="L65" s="12"/>
      <c r="M65" s="12"/>
      <c r="N65" s="12"/>
      <c r="O65" s="12"/>
      <c r="P65" s="12"/>
      <c r="Q65" s="12"/>
      <c r="R65" s="12"/>
      <c r="S65" s="12"/>
      <c r="T65" s="12"/>
      <c r="U65" s="12"/>
      <c r="V65" s="12"/>
      <c r="W65" s="12"/>
      <c r="X65" s="12"/>
      <c r="Y65" s="12"/>
      <c r="Z65" s="12"/>
    </row>
    <row r="66" spans="1:26" ht="12.75" customHeight="1" x14ac:dyDescent="0.15">
      <c r="A66" s="12"/>
      <c r="B66" s="89" t="s">
        <v>59</v>
      </c>
      <c r="C66" s="90">
        <f t="shared" ref="C66:I66" si="23">C58+C62+C64</f>
        <v>-10760</v>
      </c>
      <c r="D66" s="90">
        <f t="shared" si="23"/>
        <v>-294</v>
      </c>
      <c r="E66" s="90">
        <f t="shared" si="23"/>
        <v>-1656</v>
      </c>
      <c r="F66" s="90">
        <f t="shared" si="23"/>
        <v>-1277</v>
      </c>
      <c r="G66" s="90">
        <f t="shared" si="23"/>
        <v>-1413</v>
      </c>
      <c r="H66" s="90">
        <f t="shared" si="23"/>
        <v>-1907</v>
      </c>
      <c r="I66" s="90">
        <f t="shared" si="23"/>
        <v>-1944</v>
      </c>
      <c r="J66" s="76"/>
      <c r="K66" s="12"/>
      <c r="L66" s="12"/>
      <c r="M66" s="12"/>
      <c r="N66" s="12"/>
      <c r="O66" s="12"/>
      <c r="P66" s="12"/>
      <c r="Q66" s="12"/>
      <c r="R66" s="12"/>
      <c r="S66" s="12"/>
      <c r="T66" s="12"/>
      <c r="U66" s="12"/>
      <c r="V66" s="12"/>
      <c r="W66" s="12"/>
      <c r="X66" s="12"/>
      <c r="Y66" s="12"/>
      <c r="Z66" s="12"/>
    </row>
    <row r="67" spans="1:26" ht="6" customHeight="1" x14ac:dyDescent="0.15">
      <c r="A67" s="87"/>
      <c r="B67" s="86"/>
      <c r="C67" s="88"/>
      <c r="D67" s="88"/>
      <c r="E67" s="88"/>
      <c r="F67" s="88"/>
      <c r="G67" s="88"/>
      <c r="H67" s="88"/>
      <c r="I67" s="88"/>
      <c r="J67" s="76"/>
      <c r="K67" s="87"/>
      <c r="L67" s="12"/>
      <c r="M67" s="12"/>
      <c r="N67" s="12"/>
      <c r="O67" s="12"/>
      <c r="P67" s="12"/>
      <c r="Q67" s="12"/>
      <c r="R67" s="12"/>
      <c r="S67" s="12"/>
      <c r="T67" s="12"/>
      <c r="U67" s="12"/>
      <c r="V67" s="12"/>
      <c r="W67" s="12"/>
      <c r="X67" s="12"/>
      <c r="Y67" s="12"/>
      <c r="Z67" s="12"/>
    </row>
    <row r="68" spans="1:26" ht="12.75" customHeight="1" x14ac:dyDescent="0.15">
      <c r="A68" s="12"/>
      <c r="B68" s="91" t="s">
        <v>60</v>
      </c>
      <c r="C68" s="75">
        <v>10760</v>
      </c>
      <c r="D68" s="75">
        <v>294</v>
      </c>
      <c r="E68" s="75">
        <v>927</v>
      </c>
      <c r="F68" s="75">
        <v>0</v>
      </c>
      <c r="G68" s="75">
        <v>0</v>
      </c>
      <c r="H68" s="75">
        <v>0</v>
      </c>
      <c r="I68" s="75">
        <v>0</v>
      </c>
      <c r="J68" s="76"/>
      <c r="K68" s="12"/>
      <c r="L68" s="12"/>
      <c r="M68" s="12"/>
      <c r="N68" s="12"/>
      <c r="O68" s="12"/>
      <c r="P68" s="12"/>
      <c r="Q68" s="12"/>
      <c r="R68" s="12"/>
      <c r="S68" s="12"/>
      <c r="T68" s="12"/>
      <c r="U68" s="12"/>
      <c r="V68" s="12"/>
      <c r="W68" s="12"/>
      <c r="X68" s="12"/>
      <c r="Y68" s="12"/>
      <c r="Z68" s="12"/>
    </row>
    <row r="69" spans="1:26" ht="12.75" customHeight="1" x14ac:dyDescent="0.15">
      <c r="A69" s="12"/>
      <c r="B69" s="92" t="s">
        <v>61</v>
      </c>
      <c r="C69" s="93">
        <f t="shared" ref="C69:I69" si="24">ROUND(C58+C62+C64+C68,6)</f>
        <v>0</v>
      </c>
      <c r="D69" s="93">
        <f t="shared" si="24"/>
        <v>0</v>
      </c>
      <c r="E69" s="93">
        <f t="shared" si="24"/>
        <v>-729</v>
      </c>
      <c r="F69" s="93">
        <f t="shared" si="24"/>
        <v>-1277</v>
      </c>
      <c r="G69" s="93">
        <f t="shared" si="24"/>
        <v>-1413</v>
      </c>
      <c r="H69" s="93">
        <f t="shared" si="24"/>
        <v>-1907</v>
      </c>
      <c r="I69" s="93">
        <f t="shared" si="24"/>
        <v>-1944</v>
      </c>
      <c r="J69" s="93"/>
      <c r="K69" s="12"/>
      <c r="L69" s="12"/>
      <c r="M69" s="12"/>
      <c r="N69" s="12"/>
      <c r="O69" s="12"/>
      <c r="P69" s="12"/>
      <c r="Q69" s="12"/>
      <c r="R69" s="12"/>
      <c r="S69" s="12"/>
      <c r="T69" s="12"/>
      <c r="U69" s="12"/>
      <c r="V69" s="12"/>
      <c r="W69" s="12"/>
      <c r="X69" s="12"/>
      <c r="Y69" s="12"/>
      <c r="Z69" s="12"/>
    </row>
    <row r="70" spans="1:26" ht="84" customHeight="1" x14ac:dyDescent="0.15">
      <c r="A70" s="12"/>
      <c r="B70" s="343" t="s">
        <v>62</v>
      </c>
      <c r="C70" s="335"/>
      <c r="D70" s="335"/>
      <c r="E70" s="335"/>
      <c r="F70" s="335"/>
      <c r="G70" s="335"/>
      <c r="H70" s="335"/>
      <c r="I70" s="335"/>
      <c r="J70" s="335"/>
      <c r="K70" s="12"/>
      <c r="L70" s="12"/>
      <c r="M70" s="12"/>
      <c r="N70" s="12"/>
      <c r="O70" s="12"/>
      <c r="P70" s="12"/>
      <c r="Q70" s="12"/>
      <c r="R70" s="12"/>
      <c r="S70" s="12"/>
      <c r="T70" s="12"/>
      <c r="U70" s="12"/>
      <c r="V70" s="12"/>
      <c r="W70" s="12"/>
      <c r="X70" s="12"/>
      <c r="Y70" s="12"/>
      <c r="Z70" s="12"/>
    </row>
    <row r="71" spans="1:26" ht="12.75" customHeight="1" x14ac:dyDescent="0.15">
      <c r="A71" s="12"/>
      <c r="B71" s="94"/>
      <c r="C71" s="94"/>
      <c r="D71" s="94"/>
      <c r="E71" s="94"/>
      <c r="F71" s="94"/>
      <c r="G71" s="94"/>
      <c r="H71" s="94"/>
      <c r="I71" s="94"/>
      <c r="J71" s="94"/>
      <c r="K71" s="12"/>
      <c r="L71" s="12"/>
      <c r="M71" s="12"/>
      <c r="N71" s="12"/>
      <c r="O71" s="12"/>
      <c r="P71" s="12"/>
      <c r="Q71" s="12"/>
      <c r="R71" s="12"/>
      <c r="S71" s="12"/>
      <c r="T71" s="12"/>
      <c r="U71" s="12"/>
      <c r="V71" s="12"/>
      <c r="W71" s="12"/>
      <c r="X71" s="12"/>
      <c r="Y71" s="12"/>
      <c r="Z71" s="12"/>
    </row>
    <row r="72" spans="1:26" ht="12.75" customHeigh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15">
      <c r="A73" s="12"/>
      <c r="B73" s="336" t="s">
        <v>63</v>
      </c>
      <c r="C73" s="324"/>
      <c r="D73" s="324"/>
      <c r="E73" s="324"/>
      <c r="F73" s="324"/>
      <c r="G73" s="324"/>
      <c r="H73" s="324"/>
      <c r="I73" s="324"/>
      <c r="J73" s="324"/>
      <c r="K73" s="12"/>
      <c r="L73" s="12"/>
      <c r="M73" s="12"/>
      <c r="N73" s="12"/>
      <c r="O73" s="12"/>
      <c r="P73" s="12"/>
      <c r="Q73" s="12"/>
      <c r="R73" s="12"/>
      <c r="S73" s="12"/>
      <c r="T73" s="12"/>
      <c r="U73" s="12"/>
      <c r="V73" s="12"/>
      <c r="W73" s="12"/>
      <c r="X73" s="12"/>
      <c r="Y73" s="12"/>
      <c r="Z73" s="12"/>
    </row>
    <row r="74" spans="1:26" ht="12.75" customHeight="1" x14ac:dyDescent="0.15">
      <c r="A74" s="12"/>
      <c r="B74" s="342" t="s">
        <v>17</v>
      </c>
      <c r="C74" s="324"/>
      <c r="D74" s="324"/>
      <c r="E74" s="324"/>
      <c r="F74" s="324"/>
      <c r="G74" s="324"/>
      <c r="H74" s="324"/>
      <c r="I74" s="324"/>
      <c r="J74" s="324"/>
      <c r="K74" s="12"/>
      <c r="L74" s="12"/>
      <c r="M74" s="12"/>
      <c r="N74" s="12"/>
      <c r="O74" s="12"/>
      <c r="P74" s="12"/>
      <c r="Q74" s="12"/>
      <c r="R74" s="12"/>
      <c r="S74" s="12"/>
      <c r="T74" s="12"/>
      <c r="U74" s="12"/>
      <c r="V74" s="12"/>
      <c r="W74" s="12"/>
      <c r="X74" s="12"/>
      <c r="Y74" s="12"/>
      <c r="Z74" s="12"/>
    </row>
    <row r="75" spans="1:26" ht="24" customHeight="1" x14ac:dyDescent="0.15">
      <c r="A75" s="12"/>
      <c r="B75" s="17"/>
      <c r="C75" s="18" t="str">
        <f t="shared" ref="C75:I75" si="25">C6</f>
        <v>2020-2021</v>
      </c>
      <c r="D75" s="18" t="str">
        <f t="shared" si="25"/>
        <v>2021-2022</v>
      </c>
      <c r="E75" s="18" t="str">
        <f t="shared" si="25"/>
        <v>2022-2023</v>
      </c>
      <c r="F75" s="18" t="str">
        <f t="shared" si="25"/>
        <v>2023-2024</v>
      </c>
      <c r="G75" s="18" t="str">
        <f t="shared" si="25"/>
        <v>2024-2025</v>
      </c>
      <c r="H75" s="18" t="str">
        <f t="shared" si="25"/>
        <v>2025-2026</v>
      </c>
      <c r="I75" s="18" t="str">
        <f t="shared" si="25"/>
        <v>2026-2027</v>
      </c>
      <c r="J75" s="22"/>
      <c r="K75" s="12"/>
      <c r="L75" s="12"/>
      <c r="M75" s="12"/>
      <c r="N75" s="12"/>
      <c r="O75" s="12"/>
      <c r="P75" s="12"/>
      <c r="Q75" s="12"/>
      <c r="R75" s="12"/>
      <c r="S75" s="12"/>
      <c r="T75" s="12"/>
      <c r="U75" s="12"/>
      <c r="V75" s="12"/>
      <c r="W75" s="12"/>
      <c r="X75" s="12"/>
      <c r="Y75" s="12"/>
      <c r="Z75" s="12"/>
    </row>
    <row r="76" spans="1:26" ht="12.75" customHeight="1" x14ac:dyDescent="0.15">
      <c r="A76" s="12"/>
      <c r="B76" s="95" t="s">
        <v>64</v>
      </c>
      <c r="C76" s="96">
        <v>11981</v>
      </c>
      <c r="D76" s="96">
        <f t="shared" ref="D76:I76" si="26">C79</f>
        <v>1221</v>
      </c>
      <c r="E76" s="96">
        <f t="shared" si="26"/>
        <v>927</v>
      </c>
      <c r="F76" s="96">
        <f t="shared" si="26"/>
        <v>0</v>
      </c>
      <c r="G76" s="96">
        <f t="shared" si="26"/>
        <v>0</v>
      </c>
      <c r="H76" s="96">
        <f t="shared" si="26"/>
        <v>0</v>
      </c>
      <c r="I76" s="96">
        <f t="shared" si="26"/>
        <v>0</v>
      </c>
      <c r="J76" s="12"/>
      <c r="K76" s="12"/>
      <c r="L76" s="12"/>
      <c r="M76" s="12"/>
      <c r="N76" s="12"/>
      <c r="O76" s="12"/>
      <c r="P76" s="12"/>
      <c r="Q76" s="12"/>
      <c r="R76" s="12"/>
      <c r="S76" s="12"/>
      <c r="T76" s="12"/>
      <c r="U76" s="12"/>
      <c r="V76" s="12"/>
      <c r="W76" s="12"/>
      <c r="X76" s="12"/>
      <c r="Y76" s="12"/>
      <c r="Z76" s="12"/>
    </row>
    <row r="77" spans="1:26" ht="12.75" customHeight="1" x14ac:dyDescent="0.15">
      <c r="A77" s="12"/>
      <c r="B77" s="12" t="s">
        <v>65</v>
      </c>
      <c r="C77" s="97">
        <v>0</v>
      </c>
      <c r="D77" s="97">
        <f t="shared" ref="D77:I77" si="27">IF(D69&gt;0,D69,0)</f>
        <v>0</v>
      </c>
      <c r="E77" s="97">
        <f t="shared" si="27"/>
        <v>0</v>
      </c>
      <c r="F77" s="97">
        <f t="shared" si="27"/>
        <v>0</v>
      </c>
      <c r="G77" s="97">
        <f t="shared" si="27"/>
        <v>0</v>
      </c>
      <c r="H77" s="97">
        <f t="shared" si="27"/>
        <v>0</v>
      </c>
      <c r="I77" s="97">
        <f t="shared" si="27"/>
        <v>0</v>
      </c>
      <c r="J77" s="12"/>
      <c r="K77" s="12"/>
      <c r="L77" s="12"/>
      <c r="M77" s="12"/>
      <c r="N77" s="12"/>
      <c r="O77" s="12"/>
      <c r="P77" s="12"/>
      <c r="Q77" s="12"/>
      <c r="R77" s="12"/>
      <c r="S77" s="12"/>
      <c r="T77" s="12"/>
      <c r="U77" s="12"/>
      <c r="V77" s="12"/>
      <c r="W77" s="12"/>
      <c r="X77" s="12"/>
      <c r="Y77" s="12"/>
      <c r="Z77" s="12"/>
    </row>
    <row r="78" spans="1:26" ht="12.75" customHeight="1" x14ac:dyDescent="0.15">
      <c r="A78" s="12"/>
      <c r="B78" s="12" t="s">
        <v>66</v>
      </c>
      <c r="C78" s="97">
        <v>-10760</v>
      </c>
      <c r="D78" s="97">
        <f t="shared" ref="D78:I78" si="28">-D68</f>
        <v>-294</v>
      </c>
      <c r="E78" s="97">
        <f t="shared" si="28"/>
        <v>-927</v>
      </c>
      <c r="F78" s="97">
        <f t="shared" si="28"/>
        <v>0</v>
      </c>
      <c r="G78" s="97">
        <f t="shared" si="28"/>
        <v>0</v>
      </c>
      <c r="H78" s="97">
        <f t="shared" si="28"/>
        <v>0</v>
      </c>
      <c r="I78" s="97">
        <f t="shared" si="28"/>
        <v>0</v>
      </c>
      <c r="J78" s="12"/>
      <c r="K78" s="12"/>
      <c r="L78" s="12"/>
      <c r="M78" s="12"/>
      <c r="N78" s="12"/>
      <c r="O78" s="12"/>
      <c r="P78" s="12"/>
      <c r="Q78" s="12"/>
      <c r="R78" s="12"/>
      <c r="S78" s="12"/>
      <c r="T78" s="12"/>
      <c r="U78" s="12"/>
      <c r="V78" s="12"/>
      <c r="W78" s="12"/>
      <c r="X78" s="12"/>
      <c r="Y78" s="12"/>
      <c r="Z78" s="12"/>
    </row>
    <row r="79" spans="1:26" ht="18.75" customHeight="1" x14ac:dyDescent="0.15">
      <c r="A79" s="12"/>
      <c r="B79" s="98" t="s">
        <v>67</v>
      </c>
      <c r="C79" s="99">
        <f>C77+C76+C78</f>
        <v>1221</v>
      </c>
      <c r="D79" s="99">
        <f t="shared" ref="D79:I79" si="29">ROUND(D76+D77+D78,1)</f>
        <v>927</v>
      </c>
      <c r="E79" s="99">
        <f t="shared" si="29"/>
        <v>0</v>
      </c>
      <c r="F79" s="99">
        <f t="shared" si="29"/>
        <v>0</v>
      </c>
      <c r="G79" s="99">
        <f t="shared" si="29"/>
        <v>0</v>
      </c>
      <c r="H79" s="99">
        <f t="shared" si="29"/>
        <v>0</v>
      </c>
      <c r="I79" s="99">
        <f t="shared" si="29"/>
        <v>0</v>
      </c>
      <c r="J79" s="100"/>
      <c r="K79" s="12"/>
      <c r="L79" s="12"/>
      <c r="M79" s="12"/>
      <c r="N79" s="12"/>
      <c r="O79" s="12"/>
      <c r="P79" s="12"/>
      <c r="Q79" s="12"/>
      <c r="R79" s="12"/>
      <c r="S79" s="12"/>
      <c r="T79" s="12"/>
      <c r="U79" s="12"/>
      <c r="V79" s="12"/>
      <c r="W79" s="12"/>
      <c r="X79" s="12"/>
      <c r="Y79" s="12"/>
      <c r="Z79" s="12"/>
    </row>
    <row r="80" spans="1:26" ht="13.5" customHeight="1" x14ac:dyDescent="0.15">
      <c r="A80" s="12"/>
      <c r="B80" s="334"/>
      <c r="C80" s="335"/>
      <c r="D80" s="335"/>
      <c r="E80" s="335"/>
      <c r="F80" s="335"/>
      <c r="G80" s="335"/>
      <c r="H80" s="335"/>
      <c r="I80" s="335"/>
      <c r="J80" s="101"/>
      <c r="K80" s="12"/>
      <c r="L80" s="12"/>
      <c r="M80" s="12"/>
      <c r="N80" s="12"/>
      <c r="O80" s="12"/>
      <c r="P80" s="12"/>
      <c r="Q80" s="12"/>
      <c r="R80" s="12"/>
      <c r="S80" s="12"/>
      <c r="T80" s="12"/>
      <c r="U80" s="12"/>
      <c r="V80" s="12"/>
      <c r="W80" s="12"/>
      <c r="X80" s="12"/>
      <c r="Y80" s="12"/>
      <c r="Z80" s="12"/>
    </row>
    <row r="81" spans="1:26" ht="13.5" customHeight="1" x14ac:dyDescent="0.15">
      <c r="A81" s="12"/>
      <c r="B81" s="101"/>
      <c r="C81" s="101"/>
      <c r="D81" s="101"/>
      <c r="E81" s="101"/>
      <c r="F81" s="101"/>
      <c r="G81" s="101"/>
      <c r="H81" s="101"/>
      <c r="I81" s="101"/>
      <c r="J81" s="101"/>
      <c r="K81" s="12"/>
      <c r="L81" s="12"/>
      <c r="M81" s="12"/>
      <c r="N81" s="12"/>
      <c r="O81" s="12"/>
      <c r="P81" s="12"/>
      <c r="Q81" s="12"/>
      <c r="R81" s="12"/>
      <c r="S81" s="12"/>
      <c r="T81" s="12"/>
      <c r="U81" s="12"/>
      <c r="V81" s="12"/>
      <c r="W81" s="12"/>
      <c r="X81" s="12"/>
      <c r="Y81" s="12"/>
      <c r="Z81" s="12"/>
    </row>
    <row r="82" spans="1:26" ht="13.5" customHeight="1" x14ac:dyDescent="0.15">
      <c r="A82" s="12"/>
      <c r="B82" s="336" t="s">
        <v>68</v>
      </c>
      <c r="C82" s="324"/>
      <c r="D82" s="324"/>
      <c r="E82" s="324"/>
      <c r="F82" s="324"/>
      <c r="G82" s="101"/>
      <c r="H82" s="101"/>
      <c r="I82" s="101"/>
      <c r="J82" s="101"/>
      <c r="K82" s="12"/>
      <c r="L82" s="12"/>
      <c r="M82" s="12"/>
      <c r="N82" s="12"/>
      <c r="O82" s="12"/>
      <c r="P82" s="12"/>
      <c r="Q82" s="12"/>
      <c r="R82" s="12"/>
      <c r="S82" s="12"/>
      <c r="T82" s="12"/>
      <c r="U82" s="12"/>
      <c r="V82" s="12"/>
      <c r="W82" s="12"/>
      <c r="X82" s="12"/>
      <c r="Y82" s="12"/>
      <c r="Z82" s="12"/>
    </row>
    <row r="83" spans="1:26" ht="13.5" customHeight="1" x14ac:dyDescent="0.15">
      <c r="A83" s="12"/>
      <c r="B83" s="337" t="s">
        <v>17</v>
      </c>
      <c r="C83" s="324"/>
      <c r="D83" s="324"/>
      <c r="E83" s="324"/>
      <c r="F83" s="324"/>
      <c r="G83" s="101"/>
      <c r="H83" s="101"/>
      <c r="I83" s="101"/>
      <c r="J83" s="101"/>
      <c r="K83" s="12"/>
      <c r="L83" s="12"/>
      <c r="M83" s="12"/>
      <c r="N83" s="12"/>
      <c r="O83" s="12"/>
      <c r="P83" s="12"/>
      <c r="Q83" s="12"/>
      <c r="R83" s="12"/>
      <c r="S83" s="12"/>
      <c r="T83" s="12"/>
      <c r="U83" s="12"/>
      <c r="V83" s="12"/>
      <c r="W83" s="12"/>
      <c r="X83" s="12"/>
      <c r="Y83" s="12"/>
      <c r="Z83" s="12"/>
    </row>
    <row r="84" spans="1:26" ht="27.75" customHeight="1" x14ac:dyDescent="0.15">
      <c r="A84" s="12"/>
      <c r="B84" s="17"/>
      <c r="C84" s="102"/>
      <c r="D84" s="102" t="str">
        <f t="shared" ref="D84:I84" si="30">D6</f>
        <v>2021-2022</v>
      </c>
      <c r="E84" s="102" t="str">
        <f t="shared" si="30"/>
        <v>2022-2023</v>
      </c>
      <c r="F84" s="102" t="str">
        <f t="shared" si="30"/>
        <v>2023-2024</v>
      </c>
      <c r="G84" s="102" t="str">
        <f t="shared" si="30"/>
        <v>2024-2025</v>
      </c>
      <c r="H84" s="102" t="str">
        <f t="shared" si="30"/>
        <v>2025-2026</v>
      </c>
      <c r="I84" s="102" t="str">
        <f t="shared" si="30"/>
        <v>2026-2027</v>
      </c>
      <c r="J84" s="101"/>
      <c r="K84" s="12"/>
      <c r="L84" s="12"/>
      <c r="M84" s="12"/>
      <c r="N84" s="12"/>
      <c r="O84" s="12"/>
      <c r="P84" s="12"/>
      <c r="Q84" s="12"/>
      <c r="R84" s="12"/>
      <c r="S84" s="12"/>
      <c r="T84" s="12"/>
      <c r="U84" s="12"/>
      <c r="V84" s="12"/>
      <c r="W84" s="12"/>
      <c r="X84" s="12"/>
      <c r="Y84" s="12"/>
      <c r="Z84" s="12"/>
    </row>
    <row r="85" spans="1:26" ht="13.5" customHeight="1" x14ac:dyDescent="0.15">
      <c r="A85" s="12"/>
      <c r="B85" s="95" t="s">
        <v>69</v>
      </c>
      <c r="C85" s="96"/>
      <c r="D85" s="96">
        <v>212620</v>
      </c>
      <c r="E85" s="96">
        <v>219814</v>
      </c>
      <c r="F85" s="96">
        <v>224556</v>
      </c>
      <c r="G85" s="96">
        <v>227868</v>
      </c>
      <c r="H85" s="96">
        <v>232097</v>
      </c>
      <c r="I85" s="96">
        <v>235793</v>
      </c>
      <c r="J85" s="101"/>
      <c r="K85" s="12"/>
      <c r="L85" s="12"/>
      <c r="M85" s="12"/>
      <c r="N85" s="12"/>
      <c r="O85" s="12"/>
      <c r="P85" s="12"/>
      <c r="Q85" s="12"/>
      <c r="R85" s="12"/>
      <c r="S85" s="12"/>
      <c r="T85" s="12"/>
      <c r="U85" s="12"/>
      <c r="V85" s="12"/>
      <c r="W85" s="12"/>
      <c r="X85" s="12"/>
      <c r="Y85" s="12"/>
      <c r="Z85" s="12"/>
    </row>
    <row r="86" spans="1:26" ht="13.5" customHeight="1" x14ac:dyDescent="0.15">
      <c r="A86" s="12"/>
      <c r="B86" s="103" t="s">
        <v>70</v>
      </c>
      <c r="C86" s="104"/>
      <c r="D86" s="104">
        <f>ROUND(((D85)/Economique!C$10)/10,1)</f>
        <v>42.1</v>
      </c>
      <c r="E86" s="104">
        <f>ROUND(((E85)/Economique!D$10)/10,1)</f>
        <v>39.700000000000003</v>
      </c>
      <c r="F86" s="104">
        <f>ROUND(((F85)/Economique!E$10)/10,1)</f>
        <v>39.1</v>
      </c>
      <c r="G86" s="104">
        <f>ROUND(((G85)/Economique!F$10)/10,1)</f>
        <v>38.299999999999997</v>
      </c>
      <c r="H86" s="104">
        <f>ROUND(((H85)/Economique!G$10)/10,1)</f>
        <v>37.700000000000003</v>
      </c>
      <c r="I86" s="104">
        <f>ROUND(((I85)/Economique!H$10)/10,1)</f>
        <v>37</v>
      </c>
      <c r="J86" s="101"/>
      <c r="K86" s="12"/>
      <c r="L86" s="12"/>
      <c r="M86" s="12"/>
      <c r="N86" s="12"/>
      <c r="O86" s="12"/>
      <c r="P86" s="12"/>
      <c r="Q86" s="12"/>
      <c r="R86" s="12"/>
      <c r="S86" s="12"/>
      <c r="T86" s="12"/>
      <c r="U86" s="12"/>
      <c r="V86" s="12"/>
      <c r="W86" s="12"/>
      <c r="X86" s="12"/>
      <c r="Y86" s="12"/>
      <c r="Z86" s="12"/>
    </row>
    <row r="87" spans="1:26" ht="26.25" customHeight="1" x14ac:dyDescent="0.15">
      <c r="A87" s="12"/>
      <c r="B87" s="105" t="s">
        <v>71</v>
      </c>
      <c r="C87" s="104"/>
      <c r="D87" s="96">
        <v>105405</v>
      </c>
      <c r="E87" s="96">
        <v>103633</v>
      </c>
      <c r="F87" s="96">
        <v>100955</v>
      </c>
      <c r="G87" s="96">
        <v>97822</v>
      </c>
      <c r="H87" s="96">
        <v>94929</v>
      </c>
      <c r="I87" s="96">
        <v>91710</v>
      </c>
      <c r="J87" s="101"/>
      <c r="K87" s="12"/>
      <c r="L87" s="12"/>
      <c r="M87" s="12"/>
      <c r="N87" s="12"/>
      <c r="O87" s="12"/>
      <c r="P87" s="12"/>
      <c r="Q87" s="12"/>
      <c r="R87" s="12"/>
      <c r="S87" s="12"/>
      <c r="T87" s="12"/>
      <c r="U87" s="12"/>
      <c r="V87" s="12"/>
      <c r="W87" s="12"/>
      <c r="X87" s="12"/>
      <c r="Y87" s="12"/>
      <c r="Z87" s="12"/>
    </row>
    <row r="88" spans="1:26" ht="13.5" customHeight="1" x14ac:dyDescent="0.15">
      <c r="A88" s="12"/>
      <c r="B88" s="103" t="s">
        <v>70</v>
      </c>
      <c r="C88" s="104"/>
      <c r="D88" s="104">
        <f>ROUND(((D87)/Economique!C$10)/10,1)</f>
        <v>20.9</v>
      </c>
      <c r="E88" s="104">
        <f>ROUND(((E87)/Economique!D$10)/10,1)</f>
        <v>18.7</v>
      </c>
      <c r="F88" s="104">
        <f>ROUND(((F87)/Economique!E$10)/10,1)</f>
        <v>17.600000000000001</v>
      </c>
      <c r="G88" s="104">
        <f>ROUND(((G87)/Economique!F$10)/10,1)</f>
        <v>16.399999999999999</v>
      </c>
      <c r="H88" s="104">
        <f>ROUND(((H87)/Economique!G$10)/10,1)</f>
        <v>15.4</v>
      </c>
      <c r="I88" s="104">
        <f>ROUND(((I87)/Economique!H$10)/10,1)</f>
        <v>14.4</v>
      </c>
      <c r="J88" s="101"/>
      <c r="K88" s="12"/>
      <c r="L88" s="12"/>
      <c r="M88" s="12"/>
      <c r="N88" s="12"/>
      <c r="O88" s="12"/>
      <c r="P88" s="12"/>
      <c r="Q88" s="12"/>
      <c r="R88" s="12"/>
      <c r="S88" s="12"/>
      <c r="T88" s="12"/>
      <c r="U88" s="12"/>
      <c r="V88" s="12"/>
      <c r="W88" s="12"/>
      <c r="X88" s="12"/>
      <c r="Y88" s="12"/>
      <c r="Z88" s="12"/>
    </row>
    <row r="89" spans="1:26" ht="13.5" customHeight="1" x14ac:dyDescent="0.15">
      <c r="A89" s="12"/>
      <c r="B89" s="334"/>
      <c r="C89" s="335"/>
      <c r="D89" s="335"/>
      <c r="E89" s="335"/>
      <c r="F89" s="335"/>
      <c r="G89" s="335"/>
      <c r="H89" s="335"/>
      <c r="I89" s="335"/>
      <c r="J89" s="101"/>
      <c r="K89" s="12"/>
      <c r="L89" s="12"/>
      <c r="M89" s="12"/>
      <c r="N89" s="12"/>
      <c r="O89" s="12"/>
      <c r="P89" s="12"/>
      <c r="Q89" s="12"/>
      <c r="R89" s="12"/>
      <c r="S89" s="12"/>
      <c r="T89" s="12"/>
      <c r="U89" s="12"/>
      <c r="V89" s="12"/>
      <c r="W89" s="12"/>
      <c r="X89" s="12"/>
      <c r="Y89" s="12"/>
      <c r="Z89" s="12"/>
    </row>
    <row r="90" spans="1:26" ht="13.5" customHeight="1" x14ac:dyDescent="0.15">
      <c r="A90" s="12"/>
      <c r="B90" s="101"/>
      <c r="C90" s="101"/>
      <c r="D90" s="106"/>
      <c r="E90" s="106"/>
      <c r="F90" s="106"/>
      <c r="G90" s="106"/>
      <c r="H90" s="106"/>
      <c r="I90" s="106"/>
      <c r="J90" s="101"/>
      <c r="K90" s="12"/>
      <c r="L90" s="12"/>
      <c r="M90" s="12"/>
      <c r="N90" s="12"/>
      <c r="O90" s="12"/>
      <c r="P90" s="12"/>
      <c r="Q90" s="12"/>
      <c r="R90" s="12"/>
      <c r="S90" s="12"/>
      <c r="T90" s="12"/>
      <c r="U90" s="12"/>
      <c r="V90" s="12"/>
      <c r="W90" s="12"/>
      <c r="X90" s="12"/>
      <c r="Y90" s="12"/>
      <c r="Z90" s="12"/>
    </row>
    <row r="91" spans="1:26" ht="13.5" customHeight="1" x14ac:dyDescent="0.15">
      <c r="A91" s="12"/>
      <c r="B91" s="101"/>
      <c r="C91" s="101"/>
      <c r="D91" s="101"/>
      <c r="E91" s="101"/>
      <c r="F91" s="101"/>
      <c r="G91" s="101"/>
      <c r="H91" s="101"/>
      <c r="I91" s="101"/>
      <c r="J91" s="101"/>
      <c r="K91" s="12"/>
      <c r="L91" s="12"/>
      <c r="M91" s="12"/>
      <c r="N91" s="12"/>
      <c r="O91" s="12"/>
      <c r="P91" s="12"/>
      <c r="Q91" s="12"/>
      <c r="R91" s="12"/>
      <c r="S91" s="12"/>
      <c r="T91" s="12"/>
      <c r="U91" s="12"/>
      <c r="V91" s="12"/>
      <c r="W91" s="12"/>
      <c r="X91" s="12"/>
      <c r="Y91" s="12"/>
      <c r="Z91" s="12"/>
    </row>
    <row r="92" spans="1:26" ht="13.5" customHeight="1" x14ac:dyDescent="0.15">
      <c r="A92" s="12"/>
      <c r="B92" s="101"/>
      <c r="C92" s="101"/>
      <c r="D92" s="101"/>
      <c r="E92" s="101"/>
      <c r="F92" s="101"/>
      <c r="G92" s="101"/>
      <c r="H92" s="101"/>
      <c r="I92" s="101"/>
      <c r="J92" s="101"/>
      <c r="K92" s="12"/>
      <c r="L92" s="12"/>
      <c r="M92" s="12"/>
      <c r="N92" s="12"/>
      <c r="O92" s="12"/>
      <c r="P92" s="12"/>
      <c r="Q92" s="12"/>
      <c r="R92" s="12"/>
      <c r="S92" s="12"/>
      <c r="T92" s="12"/>
      <c r="U92" s="12"/>
      <c r="V92" s="12"/>
      <c r="W92" s="12"/>
      <c r="X92" s="12"/>
      <c r="Y92" s="12"/>
      <c r="Z92" s="12"/>
    </row>
    <row r="93" spans="1:26" ht="12.75" customHeight="1" x14ac:dyDescent="0.15">
      <c r="A93" s="12"/>
      <c r="B93" s="101"/>
      <c r="C93" s="101"/>
      <c r="D93" s="101"/>
      <c r="E93" s="101"/>
      <c r="F93" s="101"/>
      <c r="G93" s="101"/>
      <c r="H93" s="101"/>
      <c r="I93" s="101"/>
      <c r="J93" s="101"/>
      <c r="K93" s="12"/>
      <c r="L93" s="12"/>
      <c r="M93" s="12"/>
      <c r="N93" s="12"/>
      <c r="O93" s="12"/>
      <c r="P93" s="12"/>
      <c r="Q93" s="12"/>
      <c r="R93" s="12"/>
      <c r="S93" s="12"/>
      <c r="T93" s="12"/>
      <c r="U93" s="12"/>
      <c r="V93" s="12"/>
      <c r="W93" s="12"/>
      <c r="X93" s="12"/>
      <c r="Y93" s="12"/>
      <c r="Z93" s="12"/>
    </row>
    <row r="94" spans="1:26" ht="12.75" customHeight="1" x14ac:dyDescent="0.15">
      <c r="A94" s="107"/>
      <c r="B94" s="107"/>
      <c r="C94" s="107"/>
      <c r="D94" s="107"/>
      <c r="E94" s="107"/>
      <c r="F94" s="107"/>
      <c r="G94" s="107"/>
      <c r="H94" s="107"/>
      <c r="I94" s="107"/>
      <c r="J94" s="107"/>
      <c r="K94" s="107"/>
      <c r="L94" s="12"/>
      <c r="M94" s="12"/>
      <c r="N94" s="12"/>
      <c r="O94" s="12"/>
      <c r="P94" s="12"/>
      <c r="Q94" s="12"/>
      <c r="R94" s="12"/>
      <c r="S94" s="12"/>
      <c r="T94" s="12"/>
      <c r="U94" s="12"/>
      <c r="V94" s="12"/>
      <c r="W94" s="12"/>
      <c r="X94" s="12"/>
      <c r="Y94" s="12"/>
      <c r="Z94" s="12"/>
    </row>
    <row r="95" spans="1:26" ht="12.75"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15">
      <c r="A97" s="12"/>
      <c r="B97" s="12"/>
      <c r="C97" s="12"/>
      <c r="D97" s="108"/>
      <c r="E97" s="108"/>
      <c r="F97" s="108"/>
      <c r="G97" s="108"/>
      <c r="H97" s="108"/>
      <c r="I97" s="108"/>
      <c r="J97" s="12"/>
      <c r="K97" s="12"/>
      <c r="L97" s="12"/>
      <c r="M97" s="12"/>
      <c r="N97" s="12"/>
      <c r="O97" s="12"/>
      <c r="P97" s="12"/>
      <c r="Q97" s="12"/>
      <c r="R97" s="12"/>
      <c r="S97" s="12"/>
      <c r="T97" s="12"/>
      <c r="U97" s="12"/>
      <c r="V97" s="12"/>
      <c r="W97" s="12"/>
      <c r="X97" s="12"/>
      <c r="Y97" s="12"/>
      <c r="Z97" s="12"/>
    </row>
    <row r="98" spans="1:26" ht="12.75" customHeight="1"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sheetProtection sheet="1" formatCells="0" formatColumns="0" formatRows="0" insertColumns="0" insertRows="0" insertHyperlinks="0" deleteColumns="0" deleteRows="0" sort="0" autoFilter="0" pivotTables="0"/>
  <mergeCells count="11">
    <mergeCell ref="B80:I80"/>
    <mergeCell ref="B82:F82"/>
    <mergeCell ref="B83:F83"/>
    <mergeCell ref="B89:I89"/>
    <mergeCell ref="A1:G1"/>
    <mergeCell ref="B2:I2"/>
    <mergeCell ref="B4:J4"/>
    <mergeCell ref="B5:J5"/>
    <mergeCell ref="B70:J70"/>
    <mergeCell ref="B73:J73"/>
    <mergeCell ref="B74:J74"/>
  </mergeCells>
  <printOptions horizontalCentered="1"/>
  <pageMargins left="0.70866141732283472" right="0.70866141732283472" top="0.74803149606299213" bottom="0.74803149606299213" header="0" footer="0"/>
  <pageSetup orientation="portrait"/>
  <rowBreaks count="1" manualBreakCount="1">
    <brk id="70"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1C7E1"/>
  </sheetPr>
  <dimension ref="A1:Z1000"/>
  <sheetViews>
    <sheetView workbookViewId="0">
      <selection sqref="A1:F1"/>
    </sheetView>
  </sheetViews>
  <sheetFormatPr baseColWidth="10" defaultColWidth="12.6640625" defaultRowHeight="15" customHeight="1" x14ac:dyDescent="0.15"/>
  <cols>
    <col min="1" max="1" width="2.5" customWidth="1"/>
    <col min="2" max="2" width="31" customWidth="1"/>
    <col min="3" max="7" width="9.83203125" customWidth="1"/>
    <col min="8" max="8" width="13.1640625" customWidth="1"/>
    <col min="9" max="9" width="9.83203125" customWidth="1"/>
    <col min="10" max="10" width="2.5" customWidth="1"/>
    <col min="11" max="26" width="11.5" customWidth="1"/>
  </cols>
  <sheetData>
    <row r="1" spans="1:26" ht="66" customHeight="1" x14ac:dyDescent="0.15">
      <c r="A1" s="338" t="s">
        <v>16</v>
      </c>
      <c r="B1" s="339"/>
      <c r="C1" s="339"/>
      <c r="D1" s="339"/>
      <c r="E1" s="339"/>
      <c r="F1" s="340"/>
      <c r="G1" s="10"/>
      <c r="H1" s="10"/>
      <c r="I1" s="10"/>
      <c r="J1" s="11"/>
      <c r="K1" s="12"/>
      <c r="L1" s="12"/>
      <c r="M1" s="12"/>
      <c r="N1" s="12"/>
      <c r="O1" s="12"/>
      <c r="P1" s="12"/>
      <c r="Q1" s="12"/>
      <c r="R1" s="12"/>
      <c r="S1" s="12"/>
      <c r="T1" s="12"/>
      <c r="U1" s="12"/>
      <c r="V1" s="12"/>
      <c r="W1" s="12"/>
      <c r="X1" s="12"/>
      <c r="Y1" s="12"/>
      <c r="Z1" s="12"/>
    </row>
    <row r="2" spans="1:26" ht="12.75" customHeight="1" x14ac:dyDescent="0.15">
      <c r="A2" s="12"/>
      <c r="B2" s="341"/>
      <c r="C2" s="324"/>
      <c r="D2" s="324"/>
      <c r="E2" s="324"/>
      <c r="F2" s="324"/>
      <c r="G2" s="324"/>
      <c r="H2" s="324"/>
      <c r="I2" s="12"/>
      <c r="J2" s="12"/>
      <c r="K2" s="12"/>
      <c r="L2" s="12"/>
      <c r="M2" s="12"/>
      <c r="N2" s="12"/>
      <c r="O2" s="12"/>
      <c r="P2" s="12"/>
      <c r="Q2" s="12"/>
      <c r="R2" s="12"/>
      <c r="S2" s="12"/>
      <c r="T2" s="12"/>
      <c r="U2" s="12"/>
      <c r="V2" s="12"/>
      <c r="W2" s="12"/>
      <c r="X2" s="12"/>
      <c r="Y2" s="12"/>
      <c r="Z2" s="12"/>
    </row>
    <row r="3" spans="1:26" ht="12.75" customHeight="1" x14ac:dyDescent="0.15">
      <c r="A3" s="12"/>
      <c r="B3" s="13"/>
      <c r="C3" s="13"/>
      <c r="D3" s="13"/>
      <c r="E3" s="13"/>
      <c r="F3" s="13"/>
      <c r="G3" s="13"/>
      <c r="H3" s="13"/>
      <c r="I3" s="12"/>
      <c r="J3" s="12"/>
      <c r="K3" s="12"/>
      <c r="L3" s="12"/>
      <c r="M3" s="12"/>
      <c r="N3" s="12"/>
      <c r="O3" s="12"/>
      <c r="P3" s="12"/>
      <c r="Q3" s="12"/>
      <c r="R3" s="12"/>
      <c r="S3" s="12"/>
      <c r="T3" s="12"/>
      <c r="U3" s="12"/>
      <c r="V3" s="12"/>
      <c r="W3" s="12"/>
      <c r="X3" s="12"/>
      <c r="Y3" s="12"/>
      <c r="Z3" s="12"/>
    </row>
    <row r="4" spans="1:26" ht="16.5" customHeight="1" x14ac:dyDescent="0.15">
      <c r="A4" s="14"/>
      <c r="B4" s="336" t="s">
        <v>72</v>
      </c>
      <c r="C4" s="324"/>
      <c r="D4" s="324"/>
      <c r="E4" s="324"/>
      <c r="F4" s="324"/>
      <c r="G4" s="324"/>
      <c r="H4" s="324"/>
      <c r="I4" s="324"/>
      <c r="J4" s="14"/>
      <c r="K4" s="12"/>
      <c r="L4" s="12"/>
      <c r="M4" s="12"/>
      <c r="N4" s="12"/>
      <c r="O4" s="12"/>
      <c r="P4" s="12"/>
      <c r="Q4" s="12"/>
      <c r="R4" s="12"/>
      <c r="S4" s="12"/>
      <c r="T4" s="12"/>
      <c r="U4" s="12"/>
      <c r="V4" s="12"/>
      <c r="W4" s="12"/>
      <c r="X4" s="12"/>
      <c r="Y4" s="12"/>
      <c r="Z4" s="12"/>
    </row>
    <row r="5" spans="1:26" ht="15" customHeight="1" x14ac:dyDescent="0.15">
      <c r="A5" s="15"/>
      <c r="B5" s="337" t="s">
        <v>17</v>
      </c>
      <c r="C5" s="324"/>
      <c r="D5" s="324"/>
      <c r="E5" s="324"/>
      <c r="F5" s="324"/>
      <c r="G5" s="324"/>
      <c r="H5" s="324"/>
      <c r="I5" s="324"/>
      <c r="J5" s="15"/>
      <c r="K5" s="12"/>
      <c r="L5" s="12"/>
      <c r="M5" s="12"/>
      <c r="N5" s="12"/>
      <c r="O5" s="12"/>
      <c r="P5" s="12"/>
      <c r="Q5" s="12"/>
      <c r="R5" s="12"/>
      <c r="S5" s="12"/>
      <c r="T5" s="12"/>
      <c r="U5" s="12"/>
      <c r="V5" s="12"/>
      <c r="W5" s="12"/>
      <c r="X5" s="12"/>
      <c r="Y5" s="12"/>
      <c r="Z5" s="12"/>
    </row>
    <row r="6" spans="1:26" ht="12.75" customHeight="1" x14ac:dyDescent="0.15">
      <c r="A6" s="16"/>
      <c r="B6" s="17"/>
      <c r="C6" s="18" t="s">
        <v>20</v>
      </c>
      <c r="D6" s="18" t="s">
        <v>21</v>
      </c>
      <c r="E6" s="18" t="s">
        <v>22</v>
      </c>
      <c r="F6" s="18" t="s">
        <v>23</v>
      </c>
      <c r="G6" s="18" t="s">
        <v>24</v>
      </c>
      <c r="H6" s="18" t="s">
        <v>73</v>
      </c>
      <c r="I6" s="18" t="s">
        <v>74</v>
      </c>
      <c r="J6" s="16"/>
      <c r="K6" s="12"/>
      <c r="L6" s="12"/>
      <c r="M6" s="12"/>
      <c r="N6" s="12"/>
      <c r="O6" s="12"/>
      <c r="P6" s="12"/>
      <c r="Q6" s="12"/>
      <c r="R6" s="12"/>
      <c r="S6" s="12"/>
      <c r="T6" s="12"/>
      <c r="U6" s="12"/>
      <c r="V6" s="12"/>
      <c r="W6" s="12"/>
      <c r="X6" s="12"/>
      <c r="Y6" s="12"/>
      <c r="Z6" s="12"/>
    </row>
    <row r="7" spans="1:26" ht="18" customHeight="1" x14ac:dyDescent="0.15">
      <c r="A7" s="83"/>
      <c r="B7" s="86" t="s">
        <v>75</v>
      </c>
      <c r="C7" s="109">
        <v>15087</v>
      </c>
      <c r="D7" s="109">
        <v>15999.5</v>
      </c>
      <c r="E7" s="109">
        <v>16503</v>
      </c>
      <c r="F7" s="109">
        <v>16409.5</v>
      </c>
      <c r="G7" s="109">
        <v>16002.9</v>
      </c>
      <c r="H7" s="109">
        <f>AVERAGE(15013.6,13996.5,12010,10993.4,10484.5)</f>
        <v>12499.6</v>
      </c>
      <c r="I7" s="110">
        <v>142500</v>
      </c>
      <c r="J7" s="83"/>
      <c r="K7" s="12"/>
      <c r="L7" s="12"/>
      <c r="M7" s="12"/>
      <c r="N7" s="12"/>
      <c r="O7" s="12"/>
      <c r="P7" s="12"/>
      <c r="Q7" s="12"/>
      <c r="R7" s="12"/>
      <c r="S7" s="12"/>
      <c r="T7" s="12"/>
      <c r="U7" s="12"/>
      <c r="V7" s="12"/>
      <c r="W7" s="12"/>
      <c r="X7" s="12"/>
      <c r="Y7" s="12"/>
      <c r="Z7" s="12"/>
    </row>
    <row r="8" spans="1:26" ht="28.5" customHeight="1" x14ac:dyDescent="0.15">
      <c r="A8" s="12"/>
      <c r="B8" s="343" t="s">
        <v>76</v>
      </c>
      <c r="C8" s="335"/>
      <c r="D8" s="335"/>
      <c r="E8" s="335"/>
      <c r="F8" s="335"/>
      <c r="G8" s="335"/>
      <c r="H8" s="335"/>
      <c r="I8" s="335"/>
      <c r="J8" s="12"/>
      <c r="K8" s="12"/>
      <c r="L8" s="12"/>
      <c r="M8" s="12"/>
      <c r="N8" s="12"/>
      <c r="O8" s="12"/>
      <c r="P8" s="12"/>
      <c r="Q8" s="12"/>
      <c r="R8" s="12"/>
      <c r="S8" s="12"/>
      <c r="T8" s="12"/>
      <c r="U8" s="12"/>
      <c r="V8" s="12"/>
      <c r="W8" s="12"/>
      <c r="X8" s="12"/>
      <c r="Y8" s="12"/>
      <c r="Z8" s="12"/>
    </row>
    <row r="9" spans="1:26" ht="12.75" customHeight="1" x14ac:dyDescent="0.15">
      <c r="A9" s="12"/>
      <c r="B9" s="344" t="s">
        <v>77</v>
      </c>
      <c r="C9" s="324"/>
      <c r="D9" s="324"/>
      <c r="E9" s="324"/>
      <c r="F9" s="324"/>
      <c r="G9" s="324"/>
      <c r="H9" s="324"/>
      <c r="I9" s="324"/>
      <c r="J9" s="12"/>
      <c r="K9" s="12"/>
      <c r="L9" s="12"/>
      <c r="M9" s="12"/>
      <c r="N9" s="12"/>
      <c r="O9" s="12"/>
      <c r="P9" s="12"/>
      <c r="Q9" s="12"/>
      <c r="R9" s="12"/>
      <c r="S9" s="12"/>
      <c r="T9" s="12"/>
      <c r="U9" s="12"/>
      <c r="V9" s="12"/>
      <c r="W9" s="12"/>
      <c r="X9" s="12"/>
      <c r="Y9" s="12"/>
      <c r="Z9" s="12"/>
    </row>
    <row r="10" spans="1:26" ht="12.75" customHeight="1" x14ac:dyDescent="0.15">
      <c r="A10" s="12"/>
      <c r="B10" s="101"/>
      <c r="C10" s="101"/>
      <c r="D10" s="101"/>
      <c r="E10" s="101"/>
      <c r="F10" s="101"/>
      <c r="G10" s="101"/>
      <c r="H10" s="101"/>
      <c r="I10" s="101"/>
      <c r="J10" s="12"/>
      <c r="K10" s="12"/>
      <c r="L10" s="12"/>
      <c r="M10" s="12"/>
      <c r="N10" s="12"/>
      <c r="O10" s="12"/>
      <c r="P10" s="12"/>
      <c r="Q10" s="12"/>
      <c r="R10" s="12"/>
      <c r="S10" s="12"/>
      <c r="T10" s="12"/>
      <c r="U10" s="12"/>
      <c r="V10" s="12"/>
      <c r="W10" s="12"/>
      <c r="X10" s="12"/>
      <c r="Y10" s="12"/>
      <c r="Z10" s="12"/>
    </row>
    <row r="11" spans="1:26" ht="12.75" customHeight="1" x14ac:dyDescent="0.15">
      <c r="A11" s="107"/>
      <c r="B11" s="107"/>
      <c r="C11" s="107"/>
      <c r="D11" s="107"/>
      <c r="E11" s="107"/>
      <c r="F11" s="107"/>
      <c r="G11" s="107"/>
      <c r="H11" s="107"/>
      <c r="I11" s="107"/>
      <c r="J11" s="107"/>
      <c r="K11" s="12"/>
      <c r="L11" s="12"/>
      <c r="M11" s="12"/>
      <c r="N11" s="12"/>
      <c r="O11" s="12"/>
      <c r="P11" s="12"/>
      <c r="Q11" s="12"/>
      <c r="R11" s="12"/>
      <c r="S11" s="12"/>
      <c r="T11" s="12"/>
      <c r="U11" s="12"/>
      <c r="V11" s="12"/>
      <c r="W11" s="12"/>
      <c r="X11" s="12"/>
      <c r="Y11" s="12"/>
      <c r="Z11" s="12"/>
    </row>
    <row r="12" spans="1:26" ht="12.75"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2.75" customHeight="1" x14ac:dyDescent="0.15">
      <c r="A13" s="12"/>
      <c r="B13" s="12"/>
      <c r="C13" s="111"/>
      <c r="D13" s="111"/>
      <c r="E13" s="111"/>
      <c r="F13" s="111"/>
      <c r="G13" s="111"/>
      <c r="H13" s="111"/>
      <c r="I13" s="12"/>
      <c r="J13" s="12"/>
      <c r="K13" s="12"/>
      <c r="L13" s="12"/>
      <c r="M13" s="12"/>
      <c r="N13" s="12"/>
      <c r="O13" s="12"/>
      <c r="P13" s="12"/>
      <c r="Q13" s="12"/>
      <c r="R13" s="12"/>
      <c r="S13" s="12"/>
      <c r="T13" s="12"/>
      <c r="U13" s="12"/>
      <c r="V13" s="12"/>
      <c r="W13" s="12"/>
      <c r="X13" s="12"/>
      <c r="Y13" s="12"/>
      <c r="Z13" s="12"/>
    </row>
    <row r="14" spans="1:26" ht="12.75" customHeight="1" x14ac:dyDescent="0.15">
      <c r="A14" s="12"/>
      <c r="B14" s="12"/>
      <c r="C14" s="108"/>
      <c r="D14" s="108"/>
      <c r="E14" s="108"/>
      <c r="F14" s="108"/>
      <c r="G14" s="108"/>
      <c r="H14" s="108"/>
      <c r="I14" s="12"/>
      <c r="J14" s="12"/>
      <c r="K14" s="12"/>
      <c r="L14" s="12"/>
      <c r="M14" s="12"/>
      <c r="N14" s="12"/>
      <c r="O14" s="12"/>
      <c r="P14" s="12"/>
      <c r="Q14" s="12"/>
      <c r="R14" s="12"/>
      <c r="S14" s="12"/>
      <c r="T14" s="12"/>
      <c r="U14" s="12"/>
      <c r="V14" s="12"/>
      <c r="W14" s="12"/>
      <c r="X14" s="12"/>
      <c r="Y14" s="12"/>
      <c r="Z14" s="12"/>
    </row>
    <row r="15" spans="1:26" ht="12.75" customHeight="1"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2.75"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2.75"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2.75"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2.7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2.75"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2.7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2.7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2.7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2.7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2.75"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2.75"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2.7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2.7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2.75"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2.7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2.75"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2.7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2.75"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75"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75"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75"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2.75"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75"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75"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7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75" customHeight="1"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7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7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7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7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15"/>
    <row r="222" spans="1:26" ht="15.75" customHeight="1" x14ac:dyDescent="0.15"/>
    <row r="223" spans="1:26" ht="15.75" customHeight="1" x14ac:dyDescent="0.15"/>
    <row r="224" spans="1:26"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sheetProtection sheet="1" formatCells="0" formatColumns="0" formatRows="0" insertColumns="0" insertRows="0" insertHyperlinks="0" deleteColumns="0" deleteRows="0" sort="0" autoFilter="0" pivotTables="0"/>
  <mergeCells count="6">
    <mergeCell ref="B9:I9"/>
    <mergeCell ref="A1:F1"/>
    <mergeCell ref="B2:H2"/>
    <mergeCell ref="B4:I4"/>
    <mergeCell ref="B5:I5"/>
    <mergeCell ref="B8:I8"/>
  </mergeCells>
  <hyperlinks>
    <hyperlink ref="B9" r:id="rId1" xr:uid="{00000000-0004-0000-0200-000000000000}"/>
  </hyperlinks>
  <pageMargins left="0.70866141732283472" right="0.70866141732283472" top="0.74803149606299213" bottom="0.74803149606299213" header="0" footer="0"/>
  <pageSetup scale="78" orientation="portrait"/>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9CFAF"/>
    <pageSetUpPr fitToPage="1"/>
  </sheetPr>
  <dimension ref="A1:Z1000"/>
  <sheetViews>
    <sheetView workbookViewId="0">
      <selection sqref="A1:E1"/>
    </sheetView>
  </sheetViews>
  <sheetFormatPr baseColWidth="10" defaultColWidth="12.6640625" defaultRowHeight="15" customHeight="1" x14ac:dyDescent="0.15"/>
  <cols>
    <col min="1" max="1" width="2.5" customWidth="1"/>
    <col min="2" max="2" width="51.83203125" customWidth="1"/>
    <col min="3" max="8" width="9.83203125" customWidth="1"/>
    <col min="9" max="9" width="2.5" customWidth="1"/>
    <col min="10" max="10" width="11.5" customWidth="1"/>
    <col min="11" max="11" width="12.1640625" customWidth="1"/>
    <col min="12" max="13" width="11.5" customWidth="1"/>
    <col min="14" max="14" width="42.5" customWidth="1"/>
    <col min="15" max="26" width="11.5" customWidth="1"/>
  </cols>
  <sheetData>
    <row r="1" spans="1:26" ht="66" customHeight="1" x14ac:dyDescent="0.15">
      <c r="A1" s="338" t="s">
        <v>78</v>
      </c>
      <c r="B1" s="339"/>
      <c r="C1" s="339"/>
      <c r="D1" s="339"/>
      <c r="E1" s="340"/>
      <c r="F1" s="10"/>
      <c r="G1" s="10"/>
      <c r="H1" s="10"/>
      <c r="I1" s="11"/>
      <c r="J1" s="12"/>
      <c r="K1" s="12"/>
      <c r="L1" s="12"/>
      <c r="M1" s="12"/>
      <c r="N1" s="12"/>
      <c r="O1" s="12"/>
      <c r="P1" s="12"/>
      <c r="Q1" s="12"/>
      <c r="R1" s="12"/>
      <c r="S1" s="12"/>
      <c r="T1" s="12"/>
      <c r="U1" s="12"/>
      <c r="V1" s="12"/>
      <c r="W1" s="12"/>
      <c r="X1" s="12"/>
      <c r="Y1" s="12"/>
      <c r="Z1" s="12"/>
    </row>
    <row r="2" spans="1:26" ht="12.7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row>
    <row r="3" spans="1:26" ht="12.75"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row>
    <row r="4" spans="1:26" ht="12.75" customHeight="1" x14ac:dyDescent="0.15">
      <c r="A4" s="12"/>
      <c r="B4" s="345" t="s">
        <v>10</v>
      </c>
      <c r="C4" s="324"/>
      <c r="D4" s="112"/>
      <c r="E4" s="112"/>
      <c r="F4" s="112"/>
      <c r="G4" s="113"/>
      <c r="H4" s="113"/>
      <c r="I4" s="12"/>
      <c r="J4" s="12"/>
      <c r="K4" s="12"/>
      <c r="L4" s="12"/>
      <c r="M4" s="12"/>
      <c r="N4" s="12"/>
      <c r="O4" s="12"/>
      <c r="P4" s="12"/>
      <c r="Q4" s="12"/>
      <c r="R4" s="12"/>
      <c r="S4" s="12"/>
      <c r="T4" s="12"/>
      <c r="U4" s="12"/>
      <c r="V4" s="12"/>
      <c r="W4" s="12"/>
      <c r="X4" s="12"/>
      <c r="Y4" s="12"/>
      <c r="Z4" s="12"/>
    </row>
    <row r="5" spans="1:26" ht="12.75" customHeight="1" x14ac:dyDescent="0.15">
      <c r="A5" s="12"/>
      <c r="B5" s="346" t="s">
        <v>79</v>
      </c>
      <c r="C5" s="324"/>
      <c r="D5" s="112"/>
      <c r="E5" s="112"/>
      <c r="F5" s="112"/>
      <c r="G5" s="112"/>
      <c r="H5" s="112"/>
      <c r="I5" s="12"/>
      <c r="J5" s="12"/>
      <c r="K5" s="12"/>
      <c r="L5" s="12"/>
      <c r="M5" s="12"/>
      <c r="N5" s="12"/>
      <c r="O5" s="12"/>
      <c r="P5" s="12"/>
      <c r="Q5" s="12"/>
      <c r="R5" s="12"/>
      <c r="S5" s="12"/>
      <c r="T5" s="12"/>
      <c r="U5" s="12"/>
      <c r="V5" s="12"/>
      <c r="W5" s="12"/>
      <c r="X5" s="12"/>
      <c r="Y5" s="12"/>
      <c r="Z5" s="12"/>
    </row>
    <row r="6" spans="1:26" ht="36.75" customHeight="1" x14ac:dyDescent="0.15">
      <c r="A6" s="12"/>
      <c r="B6" s="114"/>
      <c r="C6" s="115">
        <v>2021</v>
      </c>
      <c r="D6" s="115">
        <v>2022</v>
      </c>
      <c r="E6" s="115">
        <v>2023</v>
      </c>
      <c r="F6" s="115">
        <v>2024</v>
      </c>
      <c r="G6" s="115">
        <v>2025</v>
      </c>
      <c r="H6" s="115">
        <v>2026</v>
      </c>
      <c r="I6" s="12"/>
      <c r="J6" s="12"/>
      <c r="K6" s="12"/>
      <c r="L6" s="12"/>
      <c r="M6" s="12"/>
      <c r="N6" s="12"/>
      <c r="O6" s="12"/>
      <c r="P6" s="12"/>
      <c r="Q6" s="12"/>
      <c r="R6" s="12"/>
      <c r="S6" s="12"/>
      <c r="T6" s="12"/>
      <c r="U6" s="12"/>
      <c r="V6" s="12"/>
      <c r="W6" s="12"/>
      <c r="X6" s="12"/>
      <c r="Y6" s="12"/>
      <c r="Z6" s="12"/>
    </row>
    <row r="7" spans="1:26" ht="12.75" customHeight="1" x14ac:dyDescent="0.15">
      <c r="A7" s="12"/>
      <c r="B7" s="116" t="s">
        <v>80</v>
      </c>
      <c r="C7" s="117"/>
      <c r="D7" s="117"/>
      <c r="E7" s="117"/>
      <c r="F7" s="117"/>
      <c r="G7" s="117"/>
      <c r="H7" s="117"/>
      <c r="I7" s="12"/>
      <c r="J7" s="12"/>
      <c r="K7" s="12"/>
      <c r="L7" s="12"/>
      <c r="M7" s="12"/>
      <c r="N7" s="12"/>
      <c r="O7" s="12"/>
      <c r="P7" s="12"/>
      <c r="Q7" s="12"/>
      <c r="R7" s="12"/>
      <c r="S7" s="12"/>
      <c r="T7" s="12"/>
      <c r="U7" s="12"/>
      <c r="V7" s="12"/>
      <c r="W7" s="12"/>
      <c r="X7" s="12"/>
      <c r="Y7" s="12"/>
      <c r="Z7" s="12"/>
    </row>
    <row r="8" spans="1:26" ht="12.75" customHeight="1" x14ac:dyDescent="0.15">
      <c r="A8" s="12"/>
      <c r="B8" s="118" t="s">
        <v>81</v>
      </c>
      <c r="C8" s="119">
        <v>5.6</v>
      </c>
      <c r="D8" s="119">
        <v>3.4</v>
      </c>
      <c r="E8" s="119">
        <v>1.7</v>
      </c>
      <c r="F8" s="119">
        <v>1.5</v>
      </c>
      <c r="G8" s="119">
        <v>1.5</v>
      </c>
      <c r="H8" s="119">
        <v>1.5</v>
      </c>
      <c r="I8" s="12"/>
      <c r="J8" s="12"/>
      <c r="K8" s="12"/>
      <c r="L8" s="12"/>
      <c r="M8" s="12"/>
      <c r="N8" s="12"/>
      <c r="O8" s="12"/>
      <c r="P8" s="12"/>
      <c r="Q8" s="12"/>
      <c r="R8" s="12"/>
      <c r="S8" s="12"/>
      <c r="T8" s="12"/>
      <c r="U8" s="12"/>
      <c r="V8" s="12"/>
      <c r="W8" s="12"/>
      <c r="X8" s="12"/>
      <c r="Y8" s="12"/>
      <c r="Z8" s="12"/>
    </row>
    <row r="9" spans="1:26" ht="12.75" customHeight="1" x14ac:dyDescent="0.15">
      <c r="A9" s="12"/>
      <c r="B9" s="118" t="s">
        <v>82</v>
      </c>
      <c r="C9" s="119">
        <v>12.5</v>
      </c>
      <c r="D9" s="119">
        <v>9.6</v>
      </c>
      <c r="E9" s="119">
        <v>3.8</v>
      </c>
      <c r="F9" s="119">
        <v>3.6</v>
      </c>
      <c r="G9" s="119">
        <v>3.5</v>
      </c>
      <c r="H9" s="119">
        <v>3.5</v>
      </c>
      <c r="I9" s="12"/>
      <c r="J9" s="12"/>
      <c r="K9" s="12"/>
      <c r="L9" s="12"/>
      <c r="M9" s="12"/>
      <c r="N9" s="12"/>
      <c r="O9" s="12"/>
      <c r="P9" s="12"/>
      <c r="Q9" s="12"/>
      <c r="R9" s="12"/>
      <c r="S9" s="12"/>
      <c r="T9" s="12"/>
      <c r="U9" s="12"/>
      <c r="V9" s="12"/>
      <c r="W9" s="12"/>
      <c r="X9" s="12"/>
      <c r="Y9" s="12"/>
      <c r="Z9" s="12"/>
    </row>
    <row r="10" spans="1:26" ht="12.75" customHeight="1" x14ac:dyDescent="0.15">
      <c r="A10" s="12"/>
      <c r="B10" s="118" t="s">
        <v>83</v>
      </c>
      <c r="C10" s="119">
        <v>505.09500000000003</v>
      </c>
      <c r="D10" s="119">
        <v>553.58500000000004</v>
      </c>
      <c r="E10" s="119">
        <v>574.39400000000001</v>
      </c>
      <c r="F10" s="119">
        <v>595.34299999999996</v>
      </c>
      <c r="G10" s="119">
        <v>616.40700000000004</v>
      </c>
      <c r="H10" s="119">
        <v>637.95899999999995</v>
      </c>
      <c r="I10" s="12"/>
      <c r="J10" s="12"/>
      <c r="K10" s="12"/>
      <c r="L10" s="12"/>
      <c r="M10" s="12"/>
      <c r="N10" s="12"/>
      <c r="O10" s="12"/>
      <c r="P10" s="12"/>
      <c r="Q10" s="12"/>
      <c r="R10" s="12"/>
      <c r="S10" s="12"/>
      <c r="T10" s="12"/>
      <c r="U10" s="12"/>
      <c r="V10" s="12"/>
      <c r="W10" s="12"/>
      <c r="X10" s="12"/>
      <c r="Y10" s="12"/>
      <c r="Z10" s="12"/>
    </row>
    <row r="11" spans="1:26" ht="12.75" customHeight="1" x14ac:dyDescent="0.15">
      <c r="A11" s="12"/>
      <c r="B11" s="120" t="s">
        <v>84</v>
      </c>
      <c r="C11" s="121"/>
      <c r="D11" s="121"/>
      <c r="E11" s="122"/>
      <c r="F11" s="122"/>
      <c r="G11" s="122"/>
      <c r="H11" s="122"/>
      <c r="I11" s="12"/>
      <c r="J11" s="12"/>
      <c r="K11" s="12"/>
      <c r="L11" s="12"/>
      <c r="M11" s="12"/>
      <c r="N11" s="12"/>
      <c r="O11" s="12"/>
      <c r="P11" s="12"/>
      <c r="Q11" s="12"/>
      <c r="R11" s="12"/>
      <c r="S11" s="12"/>
      <c r="T11" s="12"/>
      <c r="U11" s="12"/>
      <c r="V11" s="12"/>
      <c r="W11" s="12"/>
      <c r="X11" s="12"/>
      <c r="Y11" s="12"/>
      <c r="Z11" s="12"/>
    </row>
    <row r="12" spans="1:26" ht="12.75" customHeight="1" x14ac:dyDescent="0.15">
      <c r="A12" s="12"/>
      <c r="B12" s="118" t="s">
        <v>85</v>
      </c>
      <c r="C12" s="119">
        <v>5.7</v>
      </c>
      <c r="D12" s="119">
        <v>3.8</v>
      </c>
      <c r="E12" s="119">
        <v>1.5</v>
      </c>
      <c r="F12" s="119">
        <v>1.2</v>
      </c>
      <c r="G12" s="119">
        <v>1.3</v>
      </c>
      <c r="H12" s="119">
        <v>1.1000000000000001</v>
      </c>
      <c r="I12" s="12"/>
      <c r="J12" s="12"/>
      <c r="K12" s="12"/>
      <c r="L12" s="12"/>
      <c r="M12" s="12"/>
      <c r="N12" s="12"/>
      <c r="O12" s="12"/>
      <c r="P12" s="12"/>
      <c r="Q12" s="12"/>
      <c r="R12" s="12"/>
      <c r="S12" s="12"/>
      <c r="T12" s="12"/>
      <c r="U12" s="12"/>
      <c r="V12" s="12"/>
      <c r="W12" s="12"/>
      <c r="X12" s="12"/>
      <c r="Y12" s="12"/>
      <c r="Z12" s="12"/>
    </row>
    <row r="13" spans="1:26" ht="12.75" customHeight="1" x14ac:dyDescent="0.15">
      <c r="A13" s="12"/>
      <c r="B13" s="118" t="s">
        <v>86</v>
      </c>
      <c r="C13" s="119">
        <v>5.8</v>
      </c>
      <c r="D13" s="119">
        <v>5.3</v>
      </c>
      <c r="E13" s="119">
        <v>2.2999999999999998</v>
      </c>
      <c r="F13" s="119">
        <v>1.5</v>
      </c>
      <c r="G13" s="119">
        <v>1.5</v>
      </c>
      <c r="H13" s="119">
        <v>1.5</v>
      </c>
      <c r="I13" s="12"/>
      <c r="J13" s="12"/>
      <c r="K13" s="12"/>
      <c r="L13" s="12"/>
      <c r="M13" s="12"/>
      <c r="N13" s="12"/>
      <c r="O13" s="12"/>
      <c r="P13" s="12"/>
      <c r="Q13" s="12"/>
      <c r="R13" s="12"/>
      <c r="S13" s="12"/>
      <c r="T13" s="12"/>
      <c r="U13" s="12"/>
      <c r="V13" s="12"/>
      <c r="W13" s="12"/>
      <c r="X13" s="12"/>
      <c r="Y13" s="12"/>
      <c r="Z13" s="12"/>
    </row>
    <row r="14" spans="1:26" ht="12.75" customHeight="1" x14ac:dyDescent="0.15">
      <c r="A14" s="12"/>
      <c r="B14" s="123" t="s">
        <v>87</v>
      </c>
      <c r="C14" s="119">
        <v>4.9000000000000004</v>
      </c>
      <c r="D14" s="119">
        <v>2.6</v>
      </c>
      <c r="E14" s="119">
        <v>0.6</v>
      </c>
      <c r="F14" s="119">
        <v>0.8</v>
      </c>
      <c r="G14" s="119">
        <v>1.1000000000000001</v>
      </c>
      <c r="H14" s="119">
        <v>0.1</v>
      </c>
      <c r="I14" s="12"/>
      <c r="J14" s="12"/>
      <c r="K14" s="12"/>
      <c r="L14" s="12"/>
      <c r="M14" s="12"/>
      <c r="N14" s="12"/>
      <c r="O14" s="12"/>
      <c r="P14" s="12"/>
      <c r="Q14" s="12"/>
      <c r="R14" s="12"/>
      <c r="S14" s="12"/>
      <c r="T14" s="12"/>
      <c r="U14" s="12"/>
      <c r="V14" s="12"/>
      <c r="W14" s="12"/>
      <c r="X14" s="12"/>
      <c r="Y14" s="12"/>
      <c r="Z14" s="12"/>
    </row>
    <row r="15" spans="1:26" ht="12.75" customHeight="1" x14ac:dyDescent="0.15">
      <c r="A15" s="12"/>
      <c r="B15" s="118" t="s">
        <v>88</v>
      </c>
      <c r="C15" s="119">
        <v>12.7</v>
      </c>
      <c r="D15" s="119">
        <v>-2.6</v>
      </c>
      <c r="E15" s="119">
        <v>-3</v>
      </c>
      <c r="F15" s="119">
        <v>-0.2</v>
      </c>
      <c r="G15" s="119">
        <v>0.2</v>
      </c>
      <c r="H15" s="119">
        <v>0.3</v>
      </c>
      <c r="I15" s="12"/>
      <c r="J15" s="12"/>
      <c r="K15" s="12"/>
      <c r="L15" s="12"/>
      <c r="M15" s="12"/>
      <c r="N15" s="12"/>
      <c r="O15" s="12"/>
      <c r="P15" s="12"/>
      <c r="Q15" s="12"/>
      <c r="R15" s="12"/>
      <c r="S15" s="12"/>
      <c r="T15" s="12"/>
      <c r="U15" s="12"/>
      <c r="V15" s="12"/>
      <c r="W15" s="12"/>
      <c r="X15" s="12"/>
      <c r="Y15" s="12"/>
      <c r="Z15" s="12"/>
    </row>
    <row r="16" spans="1:26" ht="12.75" customHeight="1" x14ac:dyDescent="0.15">
      <c r="A16" s="12"/>
      <c r="B16" s="123" t="s">
        <v>89</v>
      </c>
      <c r="C16" s="119">
        <v>3.3</v>
      </c>
      <c r="D16" s="119">
        <v>4.9000000000000004</v>
      </c>
      <c r="E16" s="119">
        <v>3.6</v>
      </c>
      <c r="F16" s="119">
        <v>2.1</v>
      </c>
      <c r="G16" s="119">
        <v>2.1</v>
      </c>
      <c r="H16" s="119">
        <v>2.2000000000000002</v>
      </c>
      <c r="I16" s="12"/>
      <c r="J16" s="12"/>
      <c r="K16" s="12"/>
      <c r="L16" s="12"/>
      <c r="M16" s="12"/>
      <c r="N16" s="12"/>
      <c r="O16" s="12"/>
      <c r="P16" s="12"/>
      <c r="Q16" s="12"/>
      <c r="R16" s="12"/>
      <c r="S16" s="12"/>
      <c r="T16" s="12"/>
      <c r="U16" s="12"/>
      <c r="V16" s="12"/>
      <c r="W16" s="12"/>
      <c r="X16" s="12"/>
      <c r="Y16" s="12"/>
      <c r="Z16" s="12"/>
    </row>
    <row r="17" spans="1:26" ht="12.75" customHeight="1" x14ac:dyDescent="0.15">
      <c r="A17" s="12"/>
      <c r="B17" s="123" t="s">
        <v>90</v>
      </c>
      <c r="C17" s="119">
        <v>4.5999999999999996</v>
      </c>
      <c r="D17" s="119">
        <v>2.1</v>
      </c>
      <c r="E17" s="119">
        <v>3</v>
      </c>
      <c r="F17" s="119">
        <v>2.7</v>
      </c>
      <c r="G17" s="119">
        <v>2.6</v>
      </c>
      <c r="H17" s="119">
        <v>2.2000000000000002</v>
      </c>
      <c r="I17" s="12"/>
      <c r="J17" s="12"/>
      <c r="K17" s="12"/>
      <c r="L17" s="12"/>
      <c r="M17" s="12"/>
      <c r="N17" s="12"/>
      <c r="O17" s="12"/>
      <c r="P17" s="12"/>
      <c r="Q17" s="12"/>
      <c r="R17" s="12"/>
      <c r="S17" s="12"/>
      <c r="T17" s="12"/>
      <c r="U17" s="12"/>
      <c r="V17" s="12"/>
      <c r="W17" s="12"/>
      <c r="X17" s="12"/>
      <c r="Y17" s="12"/>
      <c r="Z17" s="12"/>
    </row>
    <row r="18" spans="1:26" ht="12.75" customHeight="1" x14ac:dyDescent="0.15">
      <c r="A18" s="12"/>
      <c r="B18" s="123" t="s">
        <v>91</v>
      </c>
      <c r="C18" s="119">
        <v>8.8000000000000007</v>
      </c>
      <c r="D18" s="119">
        <v>4.2</v>
      </c>
      <c r="E18" s="119">
        <v>2.1</v>
      </c>
      <c r="F18" s="119">
        <v>1.7</v>
      </c>
      <c r="G18" s="119">
        <v>2.2000000000000002</v>
      </c>
      <c r="H18" s="119">
        <v>1.3</v>
      </c>
      <c r="I18" s="12"/>
      <c r="J18" s="12"/>
      <c r="K18" s="12"/>
      <c r="L18" s="12"/>
      <c r="M18" s="12"/>
      <c r="N18" s="12"/>
      <c r="O18" s="12"/>
      <c r="P18" s="12"/>
      <c r="Q18" s="12"/>
      <c r="R18" s="12"/>
      <c r="S18" s="12"/>
      <c r="T18" s="12"/>
      <c r="U18" s="12"/>
      <c r="V18" s="12"/>
      <c r="W18" s="12"/>
      <c r="X18" s="12"/>
      <c r="Y18" s="12"/>
      <c r="Z18" s="12"/>
    </row>
    <row r="19" spans="1:26" ht="12.75" customHeight="1" x14ac:dyDescent="0.15">
      <c r="A19" s="12"/>
      <c r="B19" s="116" t="s">
        <v>92</v>
      </c>
      <c r="C19" s="124"/>
      <c r="D19" s="124"/>
      <c r="E19" s="125"/>
      <c r="F19" s="125"/>
      <c r="G19" s="125"/>
      <c r="H19" s="125"/>
      <c r="I19" s="12"/>
      <c r="J19" s="12"/>
      <c r="K19" s="12"/>
      <c r="L19" s="12"/>
      <c r="M19" s="12"/>
      <c r="N19" s="12"/>
      <c r="O19" s="12"/>
      <c r="P19" s="12"/>
      <c r="Q19" s="12"/>
      <c r="R19" s="12"/>
      <c r="S19" s="12"/>
      <c r="T19" s="12"/>
      <c r="U19" s="12"/>
      <c r="V19" s="12"/>
      <c r="W19" s="12"/>
      <c r="X19" s="12"/>
      <c r="Y19" s="12"/>
      <c r="Z19" s="12"/>
    </row>
    <row r="20" spans="1:26" ht="12.75" customHeight="1" x14ac:dyDescent="0.15">
      <c r="A20" s="12"/>
      <c r="B20" s="118" t="s">
        <v>93</v>
      </c>
      <c r="C20" s="126">
        <v>8604</v>
      </c>
      <c r="D20" s="126">
        <v>8687</v>
      </c>
      <c r="E20" s="126">
        <v>8763</v>
      </c>
      <c r="F20" s="126">
        <v>8830</v>
      </c>
      <c r="G20" s="126">
        <v>8891</v>
      </c>
      <c r="H20" s="126">
        <v>8942</v>
      </c>
      <c r="I20" s="12"/>
      <c r="J20" s="12"/>
      <c r="K20" s="12"/>
      <c r="L20" s="12"/>
      <c r="M20" s="12"/>
      <c r="N20" s="12"/>
      <c r="O20" s="12"/>
      <c r="P20" s="12"/>
      <c r="Q20" s="12"/>
      <c r="R20" s="12"/>
      <c r="S20" s="12"/>
      <c r="T20" s="12"/>
      <c r="U20" s="12"/>
      <c r="V20" s="12"/>
      <c r="W20" s="12"/>
      <c r="X20" s="12"/>
      <c r="Y20" s="12"/>
      <c r="Z20" s="12"/>
    </row>
    <row r="21" spans="1:26" ht="12.75" customHeight="1" x14ac:dyDescent="0.15">
      <c r="A21" s="12"/>
      <c r="B21" s="123" t="s">
        <v>94</v>
      </c>
      <c r="C21" s="126">
        <v>7099</v>
      </c>
      <c r="D21" s="126">
        <v>7153</v>
      </c>
      <c r="E21" s="126">
        <v>7224</v>
      </c>
      <c r="F21" s="126">
        <v>7289</v>
      </c>
      <c r="G21" s="126">
        <v>7348</v>
      </c>
      <c r="H21" s="126">
        <v>7399</v>
      </c>
      <c r="I21" s="12"/>
      <c r="J21" s="12"/>
      <c r="K21" s="12"/>
      <c r="L21" s="12"/>
      <c r="M21" s="12"/>
      <c r="N21" s="12"/>
      <c r="O21" s="12"/>
      <c r="P21" s="12"/>
      <c r="Q21" s="12"/>
      <c r="R21" s="12"/>
      <c r="S21" s="12"/>
      <c r="T21" s="12"/>
      <c r="U21" s="12"/>
      <c r="V21" s="12"/>
      <c r="W21" s="12"/>
      <c r="X21" s="12"/>
      <c r="Y21" s="12"/>
      <c r="Z21" s="12"/>
    </row>
    <row r="22" spans="1:26" ht="12.75" customHeight="1" x14ac:dyDescent="0.15">
      <c r="A22" s="12"/>
      <c r="B22" s="118" t="s">
        <v>95</v>
      </c>
      <c r="C22" s="126">
        <v>4269</v>
      </c>
      <c r="D22" s="126">
        <v>4397</v>
      </c>
      <c r="E22" s="126">
        <v>4447</v>
      </c>
      <c r="F22" s="126">
        <v>4473</v>
      </c>
      <c r="G22" s="126">
        <v>4496</v>
      </c>
      <c r="H22" s="126">
        <v>4518</v>
      </c>
      <c r="I22" s="12"/>
      <c r="J22" s="12"/>
      <c r="K22" s="12"/>
      <c r="L22" s="12"/>
      <c r="M22" s="12"/>
      <c r="N22" s="12"/>
      <c r="O22" s="12"/>
      <c r="P22" s="12"/>
      <c r="Q22" s="12"/>
      <c r="R22" s="12"/>
      <c r="S22" s="12"/>
      <c r="T22" s="12"/>
      <c r="U22" s="12"/>
      <c r="V22" s="12"/>
      <c r="W22" s="12"/>
      <c r="X22" s="12"/>
      <c r="Y22" s="12"/>
      <c r="Z22" s="12"/>
    </row>
    <row r="23" spans="1:26" ht="12.75" customHeight="1" x14ac:dyDescent="0.15">
      <c r="A23" s="12"/>
      <c r="B23" s="118" t="s">
        <v>96</v>
      </c>
      <c r="C23" s="119">
        <v>169.4</v>
      </c>
      <c r="D23" s="119">
        <v>128</v>
      </c>
      <c r="E23" s="119">
        <v>49.5</v>
      </c>
      <c r="F23" s="119">
        <v>26.2</v>
      </c>
      <c r="G23" s="119">
        <v>23.5</v>
      </c>
      <c r="H23" s="119">
        <v>21.7</v>
      </c>
      <c r="I23" s="12"/>
      <c r="J23" s="127"/>
      <c r="K23" s="12"/>
      <c r="L23" s="12"/>
      <c r="M23" s="12"/>
      <c r="N23" s="12"/>
      <c r="O23" s="12"/>
      <c r="P23" s="12"/>
      <c r="Q23" s="12"/>
      <c r="R23" s="12"/>
      <c r="S23" s="12"/>
      <c r="T23" s="12"/>
      <c r="U23" s="12"/>
      <c r="V23" s="12"/>
      <c r="W23" s="12"/>
      <c r="X23" s="12"/>
      <c r="Y23" s="12"/>
      <c r="Z23" s="12"/>
    </row>
    <row r="24" spans="1:26" ht="12.75" customHeight="1" x14ac:dyDescent="0.15">
      <c r="A24" s="12"/>
      <c r="B24" s="118" t="s">
        <v>97</v>
      </c>
      <c r="C24" s="119">
        <v>6.1</v>
      </c>
      <c r="D24" s="119">
        <v>4.2</v>
      </c>
      <c r="E24" s="119">
        <v>3.9</v>
      </c>
      <c r="F24" s="119">
        <v>3.8</v>
      </c>
      <c r="G24" s="119">
        <v>3.7</v>
      </c>
      <c r="H24" s="119">
        <v>3.6</v>
      </c>
      <c r="I24" s="12"/>
      <c r="J24" s="12"/>
      <c r="K24" s="12"/>
      <c r="L24" s="12"/>
      <c r="M24" s="12"/>
      <c r="N24" s="12"/>
      <c r="O24" s="12"/>
      <c r="P24" s="12"/>
      <c r="Q24" s="12"/>
      <c r="R24" s="12"/>
      <c r="S24" s="12"/>
      <c r="T24" s="12"/>
      <c r="U24" s="12"/>
      <c r="V24" s="12"/>
      <c r="W24" s="12"/>
      <c r="X24" s="12"/>
      <c r="Y24" s="12"/>
      <c r="Z24" s="12"/>
    </row>
    <row r="25" spans="1:26" ht="12.75" customHeight="1" x14ac:dyDescent="0.15">
      <c r="A25" s="12"/>
      <c r="B25" s="120" t="s">
        <v>98</v>
      </c>
      <c r="C25" s="124"/>
      <c r="D25" s="124"/>
      <c r="E25" s="125"/>
      <c r="F25" s="125"/>
      <c r="G25" s="125"/>
      <c r="H25" s="125"/>
      <c r="I25" s="12"/>
      <c r="J25" s="12"/>
      <c r="K25" s="12"/>
      <c r="L25" s="12"/>
      <c r="M25" s="12"/>
      <c r="N25" s="12"/>
      <c r="O25" s="12"/>
      <c r="P25" s="12"/>
      <c r="Q25" s="12"/>
      <c r="R25" s="12"/>
      <c r="S25" s="12"/>
      <c r="T25" s="12"/>
      <c r="U25" s="12"/>
      <c r="V25" s="12"/>
      <c r="W25" s="12"/>
      <c r="X25" s="12"/>
      <c r="Y25" s="12"/>
      <c r="Z25" s="12"/>
    </row>
    <row r="26" spans="1:26" ht="12.75" customHeight="1" x14ac:dyDescent="0.15">
      <c r="A26" s="12"/>
      <c r="B26" s="118" t="s">
        <v>99</v>
      </c>
      <c r="C26" s="119">
        <v>9.1999999999999993</v>
      </c>
      <c r="D26" s="119">
        <v>11.2</v>
      </c>
      <c r="E26" s="119">
        <v>5.0999999999999996</v>
      </c>
      <c r="F26" s="119">
        <v>3.2</v>
      </c>
      <c r="G26" s="119">
        <v>3.3</v>
      </c>
      <c r="H26" s="119">
        <v>3.3</v>
      </c>
      <c r="I26" s="12"/>
      <c r="J26" s="12"/>
      <c r="K26" s="12"/>
      <c r="L26" s="12"/>
      <c r="M26" s="12"/>
      <c r="N26" s="12"/>
      <c r="O26" s="12"/>
      <c r="P26" s="12"/>
      <c r="Q26" s="12"/>
      <c r="R26" s="12"/>
      <c r="S26" s="12"/>
      <c r="T26" s="12"/>
      <c r="U26" s="12"/>
      <c r="V26" s="12"/>
      <c r="W26" s="12"/>
      <c r="X26" s="12"/>
      <c r="Y26" s="12"/>
      <c r="Z26" s="12"/>
    </row>
    <row r="27" spans="1:26" ht="12.75" customHeight="1" x14ac:dyDescent="0.15">
      <c r="A27" s="12"/>
      <c r="B27" s="123" t="s">
        <v>100</v>
      </c>
      <c r="C27" s="119">
        <v>11.1</v>
      </c>
      <c r="D27" s="119">
        <v>13.2</v>
      </c>
      <c r="E27" s="119">
        <v>5.2</v>
      </c>
      <c r="F27" s="119">
        <v>3.1</v>
      </c>
      <c r="G27" s="119">
        <v>3.2</v>
      </c>
      <c r="H27" s="119">
        <v>3.1</v>
      </c>
      <c r="I27" s="12"/>
      <c r="J27" s="12"/>
      <c r="K27" s="12"/>
      <c r="L27" s="12"/>
      <c r="M27" s="12"/>
      <c r="N27" s="12"/>
      <c r="O27" s="12"/>
      <c r="P27" s="12"/>
      <c r="Q27" s="12"/>
      <c r="R27" s="12"/>
      <c r="S27" s="12"/>
      <c r="T27" s="12"/>
      <c r="U27" s="12"/>
      <c r="V27" s="12"/>
      <c r="W27" s="12"/>
      <c r="X27" s="12"/>
      <c r="Y27" s="12"/>
      <c r="Z27" s="12"/>
    </row>
    <row r="28" spans="1:26" ht="12.75" customHeight="1" x14ac:dyDescent="0.15">
      <c r="A28" s="12"/>
      <c r="B28" s="118" t="s">
        <v>101</v>
      </c>
      <c r="C28" s="119">
        <v>68</v>
      </c>
      <c r="D28" s="119">
        <v>64.599999999999994</v>
      </c>
      <c r="E28" s="119">
        <v>58.3</v>
      </c>
      <c r="F28" s="119">
        <v>52.9</v>
      </c>
      <c r="G28" s="119">
        <v>50.1</v>
      </c>
      <c r="H28" s="119">
        <v>48.5</v>
      </c>
      <c r="I28" s="12"/>
      <c r="J28" s="12"/>
      <c r="K28" s="12"/>
      <c r="L28" s="12"/>
      <c r="M28" s="12"/>
      <c r="N28" s="12"/>
      <c r="O28" s="12"/>
      <c r="P28" s="12"/>
      <c r="Q28" s="12"/>
      <c r="R28" s="12"/>
      <c r="S28" s="12"/>
      <c r="T28" s="12"/>
      <c r="U28" s="12"/>
      <c r="V28" s="12"/>
      <c r="W28" s="12"/>
      <c r="X28" s="12"/>
      <c r="Y28" s="12"/>
      <c r="Z28" s="12"/>
    </row>
    <row r="29" spans="1:26" ht="12.75" customHeight="1" x14ac:dyDescent="0.15">
      <c r="A29" s="12"/>
      <c r="B29" s="118" t="s">
        <v>102</v>
      </c>
      <c r="C29" s="119">
        <v>29.8</v>
      </c>
      <c r="D29" s="119">
        <v>6.2</v>
      </c>
      <c r="E29" s="119">
        <v>-0.5</v>
      </c>
      <c r="F29" s="119">
        <v>1.8</v>
      </c>
      <c r="G29" s="119">
        <v>2.2999999999999998</v>
      </c>
      <c r="H29" s="119">
        <v>2.4</v>
      </c>
      <c r="I29" s="12"/>
      <c r="J29" s="12"/>
      <c r="K29" s="12"/>
      <c r="L29" s="12"/>
      <c r="M29" s="12"/>
      <c r="N29" s="12"/>
      <c r="O29" s="12"/>
      <c r="P29" s="12"/>
      <c r="Q29" s="12"/>
      <c r="R29" s="12"/>
      <c r="S29" s="12"/>
      <c r="T29" s="12"/>
      <c r="U29" s="12"/>
      <c r="V29" s="12"/>
      <c r="W29" s="12"/>
      <c r="X29" s="12"/>
      <c r="Y29" s="12"/>
      <c r="Z29" s="12"/>
    </row>
    <row r="30" spans="1:26" ht="14.25" customHeight="1" x14ac:dyDescent="0.15">
      <c r="A30" s="12"/>
      <c r="B30" s="123" t="s">
        <v>103</v>
      </c>
      <c r="C30" s="119">
        <v>7.2</v>
      </c>
      <c r="D30" s="119">
        <v>11.1</v>
      </c>
      <c r="E30" s="119">
        <v>5.6</v>
      </c>
      <c r="F30" s="119">
        <v>3.3</v>
      </c>
      <c r="G30" s="119">
        <v>3.9</v>
      </c>
      <c r="H30" s="119">
        <v>4.0999999999999996</v>
      </c>
      <c r="I30" s="12"/>
      <c r="J30" s="12"/>
      <c r="K30" s="12"/>
      <c r="L30" s="12"/>
      <c r="M30" s="12"/>
      <c r="N30" s="12"/>
      <c r="O30" s="12"/>
      <c r="P30" s="12"/>
      <c r="Q30" s="12"/>
      <c r="R30" s="12"/>
      <c r="S30" s="12"/>
      <c r="T30" s="12"/>
      <c r="U30" s="12"/>
      <c r="V30" s="12"/>
      <c r="W30" s="12"/>
      <c r="X30" s="12"/>
      <c r="Y30" s="12"/>
      <c r="Z30" s="12"/>
    </row>
    <row r="31" spans="1:26" ht="14.25" customHeight="1" x14ac:dyDescent="0.15">
      <c r="A31" s="12"/>
      <c r="B31" s="118" t="s">
        <v>104</v>
      </c>
      <c r="C31" s="119">
        <v>9.4</v>
      </c>
      <c r="D31" s="119">
        <v>10.7</v>
      </c>
      <c r="E31" s="119">
        <v>4</v>
      </c>
      <c r="F31" s="119">
        <v>3.1</v>
      </c>
      <c r="G31" s="119">
        <v>3.2</v>
      </c>
      <c r="H31" s="119">
        <v>3.1</v>
      </c>
      <c r="I31" s="12"/>
      <c r="J31" s="12"/>
      <c r="K31" s="12"/>
      <c r="L31" s="12"/>
      <c r="M31" s="12"/>
      <c r="N31" s="12"/>
      <c r="O31" s="12"/>
      <c r="P31" s="12"/>
      <c r="Q31" s="12"/>
      <c r="R31" s="12"/>
      <c r="S31" s="12"/>
      <c r="T31" s="12"/>
      <c r="U31" s="12"/>
      <c r="V31" s="12"/>
      <c r="W31" s="12"/>
      <c r="X31" s="12"/>
      <c r="Y31" s="12"/>
      <c r="Z31" s="12"/>
    </row>
    <row r="32" spans="1:26" ht="14.25" customHeight="1" x14ac:dyDescent="0.15">
      <c r="A32" s="12"/>
      <c r="B32" s="118" t="s">
        <v>105</v>
      </c>
      <c r="C32" s="119">
        <v>7.6</v>
      </c>
      <c r="D32" s="119">
        <v>6.8</v>
      </c>
      <c r="E32" s="119">
        <v>2.4</v>
      </c>
      <c r="F32" s="119">
        <v>3.3</v>
      </c>
      <c r="G32" s="119">
        <v>3.4</v>
      </c>
      <c r="H32" s="119">
        <v>3.2</v>
      </c>
      <c r="I32" s="12"/>
      <c r="J32" s="12"/>
      <c r="K32" s="12"/>
      <c r="L32" s="12"/>
      <c r="M32" s="12"/>
      <c r="N32" s="12"/>
      <c r="O32" s="12"/>
      <c r="P32" s="12"/>
      <c r="Q32" s="12"/>
      <c r="R32" s="12"/>
      <c r="S32" s="12"/>
      <c r="T32" s="12"/>
      <c r="U32" s="12"/>
      <c r="V32" s="12"/>
      <c r="W32" s="12"/>
      <c r="X32" s="12"/>
      <c r="Y32" s="12"/>
      <c r="Z32" s="12"/>
    </row>
    <row r="33" spans="1:26" ht="14.25" customHeight="1" x14ac:dyDescent="0.15">
      <c r="A33" s="12"/>
      <c r="B33" s="123" t="s">
        <v>106</v>
      </c>
      <c r="C33" s="119">
        <v>16.8</v>
      </c>
      <c r="D33" s="119">
        <v>-4.5999999999999996</v>
      </c>
      <c r="E33" s="119">
        <v>0.2</v>
      </c>
      <c r="F33" s="119">
        <v>5.8</v>
      </c>
      <c r="G33" s="119">
        <v>4</v>
      </c>
      <c r="H33" s="119">
        <v>3.8</v>
      </c>
      <c r="I33" s="12"/>
      <c r="J33" s="12"/>
      <c r="K33" s="12"/>
      <c r="L33" s="12"/>
      <c r="M33" s="12"/>
      <c r="N33" s="12"/>
      <c r="O33" s="12"/>
      <c r="P33" s="12"/>
      <c r="Q33" s="12"/>
      <c r="R33" s="12"/>
      <c r="S33" s="12"/>
      <c r="T33" s="12"/>
      <c r="U33" s="12"/>
      <c r="V33" s="12"/>
      <c r="W33" s="12"/>
      <c r="X33" s="12"/>
      <c r="Y33" s="12"/>
      <c r="Z33" s="12"/>
    </row>
    <row r="34" spans="1:26" ht="12.75" customHeight="1" x14ac:dyDescent="0.15">
      <c r="A34" s="12"/>
      <c r="B34" s="118" t="s">
        <v>107</v>
      </c>
      <c r="C34" s="119">
        <v>3.8</v>
      </c>
      <c r="D34" s="119">
        <v>6.5</v>
      </c>
      <c r="E34" s="119">
        <v>3.2</v>
      </c>
      <c r="F34" s="119">
        <v>2</v>
      </c>
      <c r="G34" s="119">
        <v>1.9</v>
      </c>
      <c r="H34" s="119">
        <v>1.9</v>
      </c>
      <c r="I34" s="12"/>
      <c r="J34" s="12"/>
      <c r="K34" s="12"/>
      <c r="L34" s="12"/>
      <c r="M34" s="12"/>
      <c r="N34" s="12"/>
      <c r="O34" s="12"/>
      <c r="P34" s="12"/>
      <c r="Q34" s="12"/>
      <c r="R34" s="12"/>
      <c r="S34" s="12"/>
      <c r="T34" s="12"/>
      <c r="U34" s="12"/>
      <c r="V34" s="12"/>
      <c r="W34" s="12"/>
      <c r="X34" s="12"/>
      <c r="Y34" s="12"/>
      <c r="Z34" s="12"/>
    </row>
    <row r="35" spans="1:26" ht="12.75" customHeight="1" x14ac:dyDescent="0.15">
      <c r="A35" s="12"/>
      <c r="B35" s="123" t="s">
        <v>108</v>
      </c>
      <c r="C35" s="119">
        <v>3</v>
      </c>
      <c r="D35" s="119">
        <v>4.4000000000000004</v>
      </c>
      <c r="E35" s="119">
        <v>3.3</v>
      </c>
      <c r="F35" s="119">
        <v>2.1</v>
      </c>
      <c r="G35" s="119">
        <v>2.1</v>
      </c>
      <c r="H35" s="119">
        <v>2.1</v>
      </c>
      <c r="I35" s="12"/>
      <c r="J35" s="12"/>
      <c r="K35" s="12"/>
      <c r="L35" s="12"/>
      <c r="M35" s="12"/>
      <c r="N35" s="12"/>
      <c r="O35" s="12"/>
      <c r="P35" s="12"/>
      <c r="Q35" s="12"/>
      <c r="R35" s="12"/>
      <c r="S35" s="12"/>
      <c r="T35" s="12"/>
      <c r="U35" s="12"/>
      <c r="V35" s="12"/>
      <c r="W35" s="12"/>
      <c r="X35" s="12"/>
      <c r="Y35" s="12"/>
      <c r="Z35" s="12"/>
    </row>
    <row r="36" spans="1:26" ht="12.75" customHeight="1" x14ac:dyDescent="0.15">
      <c r="A36" s="12"/>
      <c r="B36" s="118" t="s">
        <v>109</v>
      </c>
      <c r="C36" s="126">
        <v>58701</v>
      </c>
      <c r="D36" s="126">
        <v>63727</v>
      </c>
      <c r="E36" s="126">
        <v>65546</v>
      </c>
      <c r="F36" s="126">
        <v>67420</v>
      </c>
      <c r="G36" s="126">
        <v>69329</v>
      </c>
      <c r="H36" s="126">
        <v>71341</v>
      </c>
      <c r="I36" s="12"/>
      <c r="J36" s="12"/>
      <c r="K36" s="12"/>
      <c r="L36" s="12"/>
      <c r="M36" s="12"/>
      <c r="N36" s="12"/>
      <c r="O36" s="12"/>
      <c r="P36" s="12"/>
      <c r="Q36" s="12"/>
      <c r="R36" s="12"/>
      <c r="S36" s="12"/>
      <c r="T36" s="12"/>
      <c r="U36" s="12"/>
      <c r="V36" s="12"/>
      <c r="W36" s="12"/>
      <c r="X36" s="12"/>
      <c r="Y36" s="12"/>
      <c r="Z36" s="12"/>
    </row>
    <row r="37" spans="1:26" ht="12.75" customHeight="1" x14ac:dyDescent="0.15">
      <c r="A37" s="12"/>
      <c r="B37" s="128" t="s">
        <v>110</v>
      </c>
      <c r="C37" s="129">
        <v>34849</v>
      </c>
      <c r="D37" s="129">
        <v>36160</v>
      </c>
      <c r="E37" s="129">
        <v>35930</v>
      </c>
      <c r="F37" s="129">
        <v>36867</v>
      </c>
      <c r="G37" s="129">
        <v>37839</v>
      </c>
      <c r="H37" s="129">
        <v>38845</v>
      </c>
      <c r="I37" s="12"/>
      <c r="J37" s="12"/>
      <c r="K37" s="12"/>
      <c r="L37" s="12"/>
      <c r="M37" s="12"/>
      <c r="N37" s="12"/>
      <c r="O37" s="12"/>
      <c r="P37" s="12"/>
      <c r="Q37" s="12"/>
      <c r="R37" s="12"/>
      <c r="S37" s="12"/>
      <c r="T37" s="12"/>
      <c r="U37" s="12"/>
      <c r="V37" s="12"/>
      <c r="W37" s="12"/>
      <c r="X37" s="12"/>
      <c r="Y37" s="12"/>
      <c r="Z37" s="12"/>
    </row>
    <row r="38" spans="1:26" ht="13.5" customHeight="1" x14ac:dyDescent="0.15">
      <c r="A38" s="12"/>
      <c r="B38" s="347" t="s">
        <v>111</v>
      </c>
      <c r="C38" s="324"/>
      <c r="D38" s="324"/>
      <c r="E38" s="324"/>
      <c r="F38" s="324"/>
      <c r="G38" s="324"/>
      <c r="H38" s="324"/>
      <c r="I38" s="12"/>
      <c r="J38" s="12"/>
      <c r="K38" s="12"/>
      <c r="L38" s="12"/>
      <c r="M38" s="12"/>
      <c r="N38" s="12"/>
      <c r="O38" s="12"/>
      <c r="P38" s="12"/>
      <c r="Q38" s="12"/>
      <c r="R38" s="12"/>
      <c r="S38" s="12"/>
      <c r="T38" s="12"/>
      <c r="U38" s="12"/>
      <c r="V38" s="12"/>
      <c r="W38" s="12"/>
      <c r="X38" s="12"/>
      <c r="Y38" s="12"/>
      <c r="Z38" s="12"/>
    </row>
    <row r="39" spans="1:26" ht="12.75" customHeight="1" x14ac:dyDescent="0.15">
      <c r="A39" s="12"/>
      <c r="B39" s="324"/>
      <c r="C39" s="324"/>
      <c r="D39" s="324"/>
      <c r="E39" s="324"/>
      <c r="F39" s="324"/>
      <c r="G39" s="324"/>
      <c r="H39" s="324"/>
      <c r="I39" s="12"/>
      <c r="J39" s="12"/>
      <c r="K39" s="12"/>
      <c r="L39" s="12"/>
      <c r="M39" s="12"/>
      <c r="N39" s="12"/>
      <c r="O39" s="12"/>
      <c r="P39" s="12"/>
      <c r="Q39" s="12"/>
      <c r="R39" s="12"/>
      <c r="S39" s="12"/>
      <c r="T39" s="12"/>
      <c r="U39" s="12"/>
      <c r="V39" s="12"/>
      <c r="W39" s="12"/>
      <c r="X39" s="12"/>
      <c r="Y39" s="12"/>
      <c r="Z39" s="12"/>
    </row>
    <row r="40" spans="1:26" ht="12.7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75" customHeight="1" x14ac:dyDescent="0.15">
      <c r="A41" s="107"/>
      <c r="B41" s="107"/>
      <c r="C41" s="107"/>
      <c r="D41" s="107"/>
      <c r="E41" s="107"/>
      <c r="F41" s="107"/>
      <c r="G41" s="107"/>
      <c r="H41" s="107"/>
      <c r="I41" s="107"/>
      <c r="J41" s="12"/>
      <c r="K41" s="12"/>
      <c r="L41" s="12"/>
      <c r="M41" s="12"/>
      <c r="N41" s="12"/>
      <c r="O41" s="12"/>
      <c r="P41" s="12"/>
      <c r="Q41" s="12"/>
      <c r="R41" s="12"/>
      <c r="S41" s="12"/>
      <c r="T41" s="12"/>
      <c r="U41" s="12"/>
      <c r="V41" s="12"/>
      <c r="W41" s="12"/>
      <c r="X41" s="12"/>
      <c r="Y41" s="12"/>
      <c r="Z41" s="12"/>
    </row>
    <row r="42" spans="1:26" ht="12.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7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7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7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x14ac:dyDescent="0.15">
      <c r="A46" s="12"/>
      <c r="B46" s="12"/>
      <c r="C46" s="12"/>
      <c r="D46" s="12"/>
      <c r="E46" s="12"/>
      <c r="F46" s="12"/>
      <c r="G46" s="12"/>
      <c r="H46" s="12"/>
      <c r="I46" s="12"/>
      <c r="J46" s="12"/>
      <c r="K46" s="12"/>
      <c r="L46" s="12"/>
      <c r="M46" s="12"/>
      <c r="N46" s="130"/>
      <c r="O46" s="12"/>
      <c r="P46" s="12"/>
      <c r="Q46" s="12"/>
      <c r="R46" s="12"/>
      <c r="S46" s="12"/>
      <c r="T46" s="12"/>
      <c r="U46" s="12"/>
      <c r="V46" s="12"/>
      <c r="W46" s="12"/>
      <c r="X46" s="12"/>
      <c r="Y46" s="12"/>
      <c r="Z46" s="12"/>
    </row>
    <row r="47" spans="1:26" ht="12.7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15"/>
    <row r="240" spans="1:26"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sheetProtection sheet="1" formatCells="0" formatColumns="0" formatRows="0" insertColumns="0" insertRows="0" insertHyperlinks="0" deleteColumns="0" deleteRows="0" sort="0" autoFilter="0" pivotTables="0"/>
  <mergeCells count="4">
    <mergeCell ref="A1:E1"/>
    <mergeCell ref="B4:C4"/>
    <mergeCell ref="B5:C5"/>
    <mergeCell ref="B38:H39"/>
  </mergeCells>
  <pageMargins left="0.70866141732283472" right="0.70866141732283472" top="0.74803149606299213" bottom="0.74803149606299213" header="0" footer="0"/>
  <pageSetup fitToHeight="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4908D"/>
  </sheetPr>
  <dimension ref="A1:Z1001"/>
  <sheetViews>
    <sheetView zoomScaleNormal="100" workbookViewId="0">
      <selection sqref="A1:G1"/>
    </sheetView>
  </sheetViews>
  <sheetFormatPr baseColWidth="10" defaultColWidth="12.6640625" defaultRowHeight="15" customHeight="1" outlineLevelRow="1" outlineLevelCol="1" x14ac:dyDescent="0.15"/>
  <cols>
    <col min="1" max="1" width="2.83203125" customWidth="1"/>
    <col min="2" max="2" width="40.5" customWidth="1"/>
    <col min="3" max="3" width="10.83203125" hidden="1" customWidth="1" outlineLevel="1"/>
    <col min="4" max="4" width="10.83203125" hidden="1" customWidth="1" collapsed="1"/>
    <col min="5" max="9" width="9.1640625" customWidth="1"/>
    <col min="10" max="10" width="8.83203125" customWidth="1"/>
    <col min="11" max="13" width="1.83203125" customWidth="1"/>
    <col min="14" max="14" width="32.83203125" customWidth="1"/>
    <col min="15" max="15" width="94.83203125" customWidth="1"/>
    <col min="16" max="22" width="8.5" customWidth="1"/>
    <col min="23" max="26" width="11.5" customWidth="1"/>
  </cols>
  <sheetData>
    <row r="1" spans="1:26" ht="50.25" customHeight="1" x14ac:dyDescent="0.15">
      <c r="A1" s="338" t="s">
        <v>16</v>
      </c>
      <c r="B1" s="339"/>
      <c r="C1" s="339"/>
      <c r="D1" s="339"/>
      <c r="E1" s="339"/>
      <c r="F1" s="339"/>
      <c r="G1" s="340"/>
      <c r="H1" s="348" t="s">
        <v>12</v>
      </c>
      <c r="I1" s="339"/>
      <c r="J1" s="339"/>
      <c r="K1" s="349"/>
      <c r="L1" s="12"/>
      <c r="M1" s="12"/>
      <c r="N1" s="12"/>
      <c r="O1" s="12"/>
      <c r="P1" s="12"/>
      <c r="Q1" s="12"/>
      <c r="R1" s="12"/>
      <c r="S1" s="12"/>
      <c r="T1" s="12"/>
      <c r="U1" s="12"/>
      <c r="V1" s="12"/>
      <c r="W1" s="12"/>
      <c r="X1" s="12"/>
      <c r="Y1" s="12"/>
      <c r="Z1" s="12"/>
    </row>
    <row r="2" spans="1:26" ht="19.5" customHeight="1" x14ac:dyDescent="0.15">
      <c r="A2" s="131"/>
      <c r="B2" s="131"/>
      <c r="C2" s="131"/>
      <c r="D2" s="131"/>
      <c r="E2" s="131"/>
      <c r="F2" s="131"/>
      <c r="G2" s="131"/>
      <c r="H2" s="132"/>
      <c r="I2" s="132"/>
      <c r="J2" s="132"/>
      <c r="K2" s="132"/>
      <c r="L2" s="12"/>
      <c r="M2" s="12"/>
      <c r="N2" s="12"/>
      <c r="O2" s="12"/>
      <c r="P2" s="12"/>
      <c r="Q2" s="12"/>
      <c r="R2" s="12"/>
      <c r="S2" s="12"/>
      <c r="T2" s="12"/>
      <c r="U2" s="12"/>
      <c r="V2" s="12"/>
      <c r="W2" s="12"/>
      <c r="X2" s="12"/>
      <c r="Y2" s="12"/>
      <c r="Z2" s="12"/>
    </row>
    <row r="3" spans="1:26" ht="12.75" customHeight="1" x14ac:dyDescent="0.15">
      <c r="A3" s="12"/>
      <c r="B3" s="350" t="s">
        <v>112</v>
      </c>
      <c r="C3" s="324"/>
      <c r="D3" s="324"/>
      <c r="E3" s="324"/>
      <c r="F3" s="324"/>
      <c r="G3" s="324"/>
      <c r="H3" s="133"/>
      <c r="I3" s="134"/>
      <c r="J3" s="12"/>
      <c r="K3" s="12"/>
      <c r="L3" s="135"/>
      <c r="M3" s="136"/>
      <c r="N3" s="137" t="s">
        <v>113</v>
      </c>
      <c r="O3" s="136"/>
      <c r="P3" s="12"/>
      <c r="Q3" s="12"/>
      <c r="R3" s="12"/>
      <c r="S3" s="12"/>
      <c r="T3" s="12"/>
      <c r="U3" s="12"/>
      <c r="V3" s="12"/>
      <c r="W3" s="12"/>
      <c r="X3" s="12"/>
      <c r="Y3" s="12"/>
      <c r="Z3" s="12"/>
    </row>
    <row r="4" spans="1:26" ht="12.75" customHeight="1" x14ac:dyDescent="0.15">
      <c r="A4" s="12"/>
      <c r="B4" s="351" t="s">
        <v>17</v>
      </c>
      <c r="C4" s="324"/>
      <c r="D4" s="324"/>
      <c r="E4" s="324"/>
      <c r="F4" s="324"/>
      <c r="G4" s="324"/>
      <c r="H4" s="324"/>
      <c r="I4" s="324"/>
      <c r="J4" s="324"/>
      <c r="K4" s="12"/>
      <c r="L4" s="138"/>
      <c r="M4" s="12"/>
      <c r="N4" s="12"/>
      <c r="O4" s="12"/>
      <c r="P4" s="12"/>
      <c r="Q4" s="12"/>
      <c r="R4" s="12"/>
      <c r="S4" s="12"/>
      <c r="T4" s="12"/>
      <c r="U4" s="12"/>
      <c r="V4" s="12"/>
      <c r="W4" s="12"/>
      <c r="X4" s="12"/>
      <c r="Y4" s="12"/>
      <c r="Z4" s="12"/>
    </row>
    <row r="5" spans="1:26" ht="12.75" customHeight="1" x14ac:dyDescent="0.15">
      <c r="A5" s="12"/>
      <c r="B5" s="139"/>
      <c r="C5" s="139"/>
      <c r="D5" s="102"/>
      <c r="E5" s="102" t="s">
        <v>20</v>
      </c>
      <c r="F5" s="102" t="s">
        <v>21</v>
      </c>
      <c r="G5" s="102" t="s">
        <v>22</v>
      </c>
      <c r="H5" s="102" t="s">
        <v>23</v>
      </c>
      <c r="I5" s="102" t="s">
        <v>24</v>
      </c>
      <c r="J5" s="102"/>
      <c r="K5" s="12"/>
      <c r="L5" s="138"/>
      <c r="M5" s="12"/>
      <c r="N5" s="140" t="s">
        <v>114</v>
      </c>
      <c r="O5" s="140" t="s">
        <v>115</v>
      </c>
      <c r="P5" s="12"/>
      <c r="Q5" s="12"/>
      <c r="R5" s="12"/>
      <c r="S5" s="12"/>
      <c r="T5" s="12"/>
      <c r="U5" s="12"/>
      <c r="V5" s="12"/>
      <c r="W5" s="12"/>
      <c r="X5" s="12"/>
      <c r="Y5" s="12"/>
      <c r="Z5" s="12"/>
    </row>
    <row r="6" spans="1:26" ht="12.75" customHeight="1" x14ac:dyDescent="0.15">
      <c r="A6" s="12"/>
      <c r="B6" s="141" t="s">
        <v>116</v>
      </c>
      <c r="C6" s="141"/>
      <c r="D6" s="142"/>
      <c r="E6" s="143"/>
      <c r="F6" s="143"/>
      <c r="G6" s="143"/>
      <c r="H6" s="143"/>
      <c r="I6" s="143"/>
      <c r="J6" s="142"/>
      <c r="K6" s="144"/>
      <c r="L6" s="145"/>
      <c r="M6" s="144"/>
      <c r="N6" s="146"/>
      <c r="O6" s="146"/>
      <c r="P6" s="12"/>
      <c r="Q6" s="12"/>
      <c r="R6" s="12"/>
      <c r="S6" s="12"/>
      <c r="T6" s="12"/>
      <c r="U6" s="12"/>
      <c r="V6" s="12"/>
      <c r="W6" s="12"/>
      <c r="X6" s="12"/>
      <c r="Y6" s="12"/>
      <c r="Z6" s="12"/>
    </row>
    <row r="7" spans="1:26" ht="12.75" customHeight="1" x14ac:dyDescent="0.15">
      <c r="A7" s="12"/>
      <c r="B7" s="147" t="s">
        <v>117</v>
      </c>
      <c r="C7" s="148"/>
      <c r="D7" s="149"/>
      <c r="E7" s="149"/>
      <c r="F7" s="149"/>
      <c r="G7" s="149"/>
      <c r="H7" s="149"/>
      <c r="I7" s="149"/>
      <c r="J7" s="150"/>
      <c r="K7" s="151"/>
      <c r="L7" s="152"/>
      <c r="M7" s="151"/>
      <c r="N7" s="153" t="s">
        <v>118</v>
      </c>
      <c r="O7" s="154"/>
      <c r="P7" s="12"/>
      <c r="Q7" s="12"/>
      <c r="R7" s="12"/>
      <c r="S7" s="12"/>
      <c r="T7" s="12"/>
      <c r="U7" s="12"/>
      <c r="V7" s="12"/>
      <c r="W7" s="12"/>
      <c r="X7" s="12"/>
      <c r="Y7" s="12"/>
      <c r="Z7" s="12"/>
    </row>
    <row r="8" spans="1:26" ht="12.75" customHeight="1" x14ac:dyDescent="0.15">
      <c r="A8" s="12"/>
      <c r="B8" s="155" t="s">
        <v>119</v>
      </c>
      <c r="C8" s="156"/>
      <c r="D8" s="157"/>
      <c r="E8" s="157">
        <v>0</v>
      </c>
      <c r="F8" s="157">
        <v>0</v>
      </c>
      <c r="G8" s="157">
        <v>0</v>
      </c>
      <c r="H8" s="157">
        <v>0</v>
      </c>
      <c r="I8" s="157">
        <v>0</v>
      </c>
      <c r="J8" s="158"/>
      <c r="K8" s="144"/>
      <c r="L8" s="145"/>
      <c r="M8" s="144"/>
      <c r="N8" s="159" t="s">
        <v>27</v>
      </c>
      <c r="O8" s="160"/>
      <c r="P8" s="12"/>
      <c r="Q8" s="12"/>
      <c r="R8" s="12"/>
      <c r="S8" s="12"/>
      <c r="T8" s="12"/>
      <c r="U8" s="12"/>
      <c r="V8" s="12"/>
      <c r="W8" s="12"/>
      <c r="X8" s="12"/>
      <c r="Y8" s="12"/>
      <c r="Z8" s="12"/>
    </row>
    <row r="9" spans="1:26" ht="12.75" customHeight="1" x14ac:dyDescent="0.15">
      <c r="A9" s="12"/>
      <c r="B9" s="147" t="s">
        <v>120</v>
      </c>
      <c r="C9" s="148"/>
      <c r="D9" s="149"/>
      <c r="E9" s="149"/>
      <c r="F9" s="149"/>
      <c r="G9" s="149"/>
      <c r="H9" s="149"/>
      <c r="I9" s="149"/>
      <c r="J9" s="150"/>
      <c r="K9" s="151"/>
      <c r="L9" s="152"/>
      <c r="M9" s="151"/>
      <c r="N9" s="153" t="s">
        <v>118</v>
      </c>
      <c r="O9" s="154"/>
      <c r="P9" s="12"/>
      <c r="Q9" s="12"/>
      <c r="R9" s="12"/>
      <c r="S9" s="12"/>
      <c r="T9" s="12"/>
      <c r="U9" s="12"/>
      <c r="V9" s="12"/>
      <c r="W9" s="12"/>
      <c r="X9" s="12"/>
      <c r="Y9" s="12"/>
      <c r="Z9" s="12"/>
    </row>
    <row r="10" spans="1:26" ht="12.75" customHeight="1" x14ac:dyDescent="0.15">
      <c r="A10" s="12"/>
      <c r="B10" s="155" t="s">
        <v>121</v>
      </c>
      <c r="C10" s="156"/>
      <c r="D10" s="157"/>
      <c r="E10" s="157">
        <v>-900</v>
      </c>
      <c r="F10" s="157">
        <v>0</v>
      </c>
      <c r="G10" s="157">
        <v>0</v>
      </c>
      <c r="H10" s="157">
        <v>0</v>
      </c>
      <c r="I10" s="157">
        <v>0</v>
      </c>
      <c r="J10" s="158"/>
      <c r="K10" s="144"/>
      <c r="L10" s="145"/>
      <c r="M10" s="144"/>
      <c r="N10" s="159" t="s">
        <v>27</v>
      </c>
      <c r="O10" s="160"/>
      <c r="P10" s="12"/>
      <c r="Q10" s="12"/>
      <c r="R10" s="12"/>
      <c r="S10" s="12"/>
      <c r="T10" s="12"/>
      <c r="U10" s="12"/>
      <c r="V10" s="12"/>
      <c r="W10" s="12"/>
      <c r="X10" s="12"/>
      <c r="Y10" s="12"/>
      <c r="Z10" s="12"/>
    </row>
    <row r="11" spans="1:26" ht="24" x14ac:dyDescent="0.15">
      <c r="A11" s="12"/>
      <c r="B11" s="155" t="s">
        <v>122</v>
      </c>
      <c r="C11" s="156"/>
      <c r="D11" s="161"/>
      <c r="E11" s="157">
        <f>-9.975%*E40</f>
        <v>628.42499999999995</v>
      </c>
      <c r="F11" s="157">
        <f>-9.975%*E10</f>
        <v>89.774999999999991</v>
      </c>
      <c r="G11" s="157">
        <v>0</v>
      </c>
      <c r="H11" s="157">
        <v>0</v>
      </c>
      <c r="I11" s="157">
        <v>0</v>
      </c>
      <c r="J11" s="158"/>
      <c r="K11" s="144"/>
      <c r="L11" s="145"/>
      <c r="M11" s="144"/>
      <c r="N11" s="159" t="s">
        <v>31</v>
      </c>
      <c r="O11" s="160"/>
      <c r="P11" s="12"/>
      <c r="Q11" s="12"/>
      <c r="R11" s="12"/>
      <c r="S11" s="12"/>
      <c r="T11" s="12"/>
      <c r="U11" s="12"/>
      <c r="V11" s="12"/>
      <c r="W11" s="12"/>
      <c r="X11" s="12"/>
      <c r="Y11" s="12"/>
      <c r="Z11" s="12"/>
    </row>
    <row r="12" spans="1:26" ht="12.75" customHeight="1" x14ac:dyDescent="0.15">
      <c r="A12" s="12"/>
      <c r="B12" s="147" t="s">
        <v>123</v>
      </c>
      <c r="C12" s="148"/>
      <c r="D12" s="149"/>
      <c r="E12" s="149"/>
      <c r="F12" s="149"/>
      <c r="G12" s="149"/>
      <c r="H12" s="149"/>
      <c r="I12" s="149"/>
      <c r="J12" s="150"/>
      <c r="K12" s="151"/>
      <c r="L12" s="152"/>
      <c r="M12" s="151"/>
      <c r="N12" s="153" t="s">
        <v>118</v>
      </c>
      <c r="O12" s="154"/>
      <c r="P12" s="12"/>
      <c r="Q12" s="12"/>
      <c r="R12" s="12"/>
      <c r="S12" s="12"/>
      <c r="T12" s="12"/>
      <c r="U12" s="12"/>
      <c r="V12" s="12"/>
      <c r="W12" s="12"/>
      <c r="X12" s="12"/>
      <c r="Y12" s="12"/>
      <c r="Z12" s="12"/>
    </row>
    <row r="13" spans="1:26" ht="12.75" customHeight="1" x14ac:dyDescent="0.15">
      <c r="A13" s="12"/>
      <c r="B13" s="155" t="s">
        <v>124</v>
      </c>
      <c r="C13" s="156"/>
      <c r="D13" s="161"/>
      <c r="E13" s="157">
        <v>-200</v>
      </c>
      <c r="F13" s="157">
        <v>-205</v>
      </c>
      <c r="G13" s="157">
        <v>-210</v>
      </c>
      <c r="H13" s="157">
        <v>-215</v>
      </c>
      <c r="I13" s="157">
        <v>-220</v>
      </c>
      <c r="J13" s="158"/>
      <c r="K13" s="144"/>
      <c r="L13" s="145"/>
      <c r="M13" s="144"/>
      <c r="N13" s="159" t="s">
        <v>27</v>
      </c>
      <c r="O13" s="160"/>
      <c r="P13" s="12"/>
      <c r="Q13" s="12"/>
      <c r="R13" s="12"/>
      <c r="S13" s="12"/>
      <c r="T13" s="12"/>
      <c r="U13" s="12"/>
      <c r="V13" s="12"/>
      <c r="W13" s="12"/>
      <c r="X13" s="12"/>
      <c r="Y13" s="12"/>
      <c r="Z13" s="12"/>
    </row>
    <row r="14" spans="1:26" ht="12.75" customHeight="1" x14ac:dyDescent="0.15">
      <c r="A14" s="12"/>
      <c r="B14" s="147" t="s">
        <v>125</v>
      </c>
      <c r="C14" s="148"/>
      <c r="D14" s="149"/>
      <c r="E14" s="149"/>
      <c r="F14" s="149"/>
      <c r="G14" s="149"/>
      <c r="H14" s="149"/>
      <c r="I14" s="149"/>
      <c r="J14" s="150"/>
      <c r="K14" s="151"/>
      <c r="L14" s="152"/>
      <c r="M14" s="151"/>
      <c r="N14" s="153" t="s">
        <v>118</v>
      </c>
      <c r="O14" s="154"/>
      <c r="P14" s="12"/>
      <c r="Q14" s="12"/>
      <c r="R14" s="12"/>
      <c r="S14" s="12"/>
      <c r="T14" s="12"/>
      <c r="U14" s="12"/>
      <c r="V14" s="12"/>
      <c r="W14" s="12"/>
      <c r="X14" s="12"/>
      <c r="Y14" s="12"/>
      <c r="Z14" s="12"/>
    </row>
    <row r="15" spans="1:26" ht="12.75" customHeight="1" x14ac:dyDescent="0.15">
      <c r="A15" s="12"/>
      <c r="B15" s="155" t="s">
        <v>126</v>
      </c>
      <c r="C15" s="156"/>
      <c r="D15" s="157"/>
      <c r="E15" s="157">
        <v>0</v>
      </c>
      <c r="F15" s="157">
        <v>-10</v>
      </c>
      <c r="G15" s="157">
        <f t="shared" ref="G15:I15" si="0">F15*1.05</f>
        <v>-10.5</v>
      </c>
      <c r="H15" s="157">
        <f t="shared" si="0"/>
        <v>-11.025</v>
      </c>
      <c r="I15" s="157">
        <f t="shared" si="0"/>
        <v>-11.576250000000002</v>
      </c>
      <c r="J15" s="158"/>
      <c r="K15" s="144"/>
      <c r="L15" s="145"/>
      <c r="M15" s="144"/>
      <c r="N15" s="159" t="s">
        <v>27</v>
      </c>
      <c r="O15" s="160"/>
      <c r="P15" s="12"/>
      <c r="Q15" s="12"/>
      <c r="R15" s="12"/>
      <c r="S15" s="12"/>
      <c r="T15" s="12"/>
      <c r="U15" s="12"/>
      <c r="V15" s="12"/>
      <c r="W15" s="12"/>
      <c r="X15" s="12"/>
      <c r="Y15" s="12"/>
      <c r="Z15" s="12"/>
    </row>
    <row r="16" spans="1:26" ht="12.75" customHeight="1" x14ac:dyDescent="0.15">
      <c r="A16" s="12"/>
      <c r="B16" s="155" t="s">
        <v>127</v>
      </c>
      <c r="C16" s="156"/>
      <c r="D16" s="157"/>
      <c r="E16" s="157">
        <v>0</v>
      </c>
      <c r="F16" s="157">
        <f t="shared" ref="F16:I16" si="1">(0.04*0.15+0.055*0.65*0.0975)*15000*F63/$I63</f>
        <v>37.942500000000003</v>
      </c>
      <c r="G16" s="157">
        <f t="shared" si="1"/>
        <v>75.885000000000005</v>
      </c>
      <c r="H16" s="157">
        <f t="shared" si="1"/>
        <v>110.66562500000002</v>
      </c>
      <c r="I16" s="157">
        <f t="shared" si="1"/>
        <v>142.28437500000001</v>
      </c>
      <c r="J16" s="158"/>
      <c r="K16" s="144"/>
      <c r="L16" s="145"/>
      <c r="M16" s="144"/>
      <c r="N16" s="159" t="s">
        <v>27</v>
      </c>
      <c r="O16" s="160"/>
      <c r="P16" s="12"/>
      <c r="Q16" s="12"/>
      <c r="R16" s="12"/>
      <c r="S16" s="12"/>
      <c r="T16" s="12"/>
      <c r="U16" s="12"/>
      <c r="V16" s="12"/>
      <c r="W16" s="12"/>
      <c r="X16" s="12"/>
      <c r="Y16" s="12"/>
      <c r="Z16" s="12"/>
    </row>
    <row r="17" spans="1:26" ht="12.75" customHeight="1" x14ac:dyDescent="0.15">
      <c r="A17" s="12"/>
      <c r="B17" s="147" t="s">
        <v>128</v>
      </c>
      <c r="C17" s="148"/>
      <c r="D17" s="149"/>
      <c r="E17" s="149"/>
      <c r="F17" s="149"/>
      <c r="G17" s="149"/>
      <c r="H17" s="149"/>
      <c r="I17" s="149"/>
      <c r="J17" s="150"/>
      <c r="K17" s="151"/>
      <c r="L17" s="152"/>
      <c r="M17" s="151"/>
      <c r="N17" s="153" t="s">
        <v>118</v>
      </c>
      <c r="O17" s="154"/>
      <c r="P17" s="12"/>
      <c r="Q17" s="12"/>
      <c r="R17" s="12"/>
      <c r="S17" s="12"/>
      <c r="T17" s="12"/>
      <c r="U17" s="12"/>
      <c r="V17" s="12"/>
      <c r="W17" s="12"/>
      <c r="X17" s="12"/>
      <c r="Y17" s="12"/>
      <c r="Z17" s="12"/>
    </row>
    <row r="18" spans="1:26" ht="24" x14ac:dyDescent="0.15">
      <c r="A18" s="12"/>
      <c r="B18" s="156" t="s">
        <v>129</v>
      </c>
      <c r="C18" s="156"/>
      <c r="D18" s="161"/>
      <c r="E18" s="157">
        <v>-500</v>
      </c>
      <c r="F18" s="157">
        <v>-1800</v>
      </c>
      <c r="G18" s="157">
        <f t="shared" ref="G18:I18" si="2">F18*1.03</f>
        <v>-1854</v>
      </c>
      <c r="H18" s="157">
        <f t="shared" si="2"/>
        <v>-1909.6200000000001</v>
      </c>
      <c r="I18" s="157">
        <f t="shared" si="2"/>
        <v>-1966.9086000000002</v>
      </c>
      <c r="J18" s="158"/>
      <c r="K18" s="144"/>
      <c r="L18" s="145"/>
      <c r="M18" s="144"/>
      <c r="N18" s="159" t="s">
        <v>27</v>
      </c>
      <c r="O18" s="160"/>
      <c r="P18" s="12"/>
      <c r="Q18" s="12"/>
      <c r="R18" s="12"/>
      <c r="S18" s="12"/>
      <c r="T18" s="12"/>
      <c r="U18" s="12"/>
      <c r="V18" s="12"/>
      <c r="W18" s="12"/>
      <c r="X18" s="12"/>
      <c r="Y18" s="12"/>
      <c r="Z18" s="12"/>
    </row>
    <row r="19" spans="1:26" ht="12.75" customHeight="1" x14ac:dyDescent="0.15">
      <c r="A19" s="12"/>
      <c r="B19" s="156" t="s">
        <v>130</v>
      </c>
      <c r="C19" s="156"/>
      <c r="D19" s="157"/>
      <c r="E19" s="157">
        <f>F19/4</f>
        <v>90</v>
      </c>
      <c r="F19" s="157">
        <v>360</v>
      </c>
      <c r="G19" s="157">
        <f t="shared" ref="G19:I19" si="3">F19*1.03</f>
        <v>370.8</v>
      </c>
      <c r="H19" s="157">
        <f t="shared" si="3"/>
        <v>381.92400000000004</v>
      </c>
      <c r="I19" s="157">
        <f t="shared" si="3"/>
        <v>393.38172000000003</v>
      </c>
      <c r="J19" s="158"/>
      <c r="K19" s="144"/>
      <c r="L19" s="145"/>
      <c r="M19" s="144"/>
      <c r="N19" s="159" t="s">
        <v>27</v>
      </c>
      <c r="O19" s="160"/>
      <c r="P19" s="12"/>
      <c r="Q19" s="12"/>
      <c r="R19" s="12"/>
      <c r="S19" s="12"/>
      <c r="T19" s="12"/>
      <c r="U19" s="12"/>
      <c r="V19" s="12"/>
      <c r="W19" s="12"/>
      <c r="X19" s="12"/>
      <c r="Y19" s="12"/>
      <c r="Z19" s="12"/>
    </row>
    <row r="20" spans="1:26" ht="12.75" customHeight="1" x14ac:dyDescent="0.15">
      <c r="A20" s="12"/>
      <c r="B20" s="155" t="s">
        <v>131</v>
      </c>
      <c r="C20" s="156"/>
      <c r="D20" s="157"/>
      <c r="E20" s="157">
        <v>250</v>
      </c>
      <c r="F20" s="157">
        <v>1700</v>
      </c>
      <c r="G20" s="157">
        <v>2400</v>
      </c>
      <c r="H20" s="157">
        <v>2600</v>
      </c>
      <c r="I20" s="157">
        <v>2700</v>
      </c>
      <c r="J20" s="158"/>
      <c r="K20" s="144"/>
      <c r="L20" s="145"/>
      <c r="M20" s="144"/>
      <c r="N20" s="159" t="s">
        <v>29</v>
      </c>
      <c r="O20" s="160"/>
      <c r="P20" s="12"/>
      <c r="Q20" s="12"/>
      <c r="R20" s="12"/>
      <c r="S20" s="12"/>
      <c r="T20" s="12"/>
      <c r="U20" s="12"/>
      <c r="V20" s="12"/>
      <c r="W20" s="12"/>
      <c r="X20" s="12"/>
      <c r="Y20" s="12"/>
      <c r="Z20" s="12"/>
    </row>
    <row r="21" spans="1:26" ht="12.75" customHeight="1" x14ac:dyDescent="0.15">
      <c r="A21" s="12"/>
      <c r="B21" s="155" t="s">
        <v>132</v>
      </c>
      <c r="C21" s="156"/>
      <c r="D21" s="157"/>
      <c r="E21" s="157">
        <v>0</v>
      </c>
      <c r="F21" s="157">
        <v>-70</v>
      </c>
      <c r="G21" s="157">
        <f t="shared" ref="G21:I21" si="4">F21*1.025</f>
        <v>-71.75</v>
      </c>
      <c r="H21" s="157">
        <f t="shared" si="4"/>
        <v>-73.543749999999989</v>
      </c>
      <c r="I21" s="157">
        <f t="shared" si="4"/>
        <v>-75.382343749999976</v>
      </c>
      <c r="J21" s="158"/>
      <c r="K21" s="144"/>
      <c r="L21" s="145"/>
      <c r="M21" s="144"/>
      <c r="N21" s="159" t="s">
        <v>29</v>
      </c>
      <c r="O21" s="160"/>
      <c r="P21" s="12"/>
      <c r="Q21" s="12"/>
      <c r="R21" s="12"/>
      <c r="S21" s="12"/>
      <c r="T21" s="12"/>
      <c r="U21" s="12"/>
      <c r="V21" s="12"/>
      <c r="W21" s="12"/>
      <c r="X21" s="12"/>
      <c r="Y21" s="12"/>
      <c r="Z21" s="12"/>
    </row>
    <row r="22" spans="1:26" ht="12.75" customHeight="1" x14ac:dyDescent="0.15">
      <c r="A22" s="12"/>
      <c r="B22" s="156" t="s">
        <v>133</v>
      </c>
      <c r="C22" s="156"/>
      <c r="D22" s="157"/>
      <c r="E22" s="157">
        <v>0</v>
      </c>
      <c r="F22" s="157">
        <v>150</v>
      </c>
      <c r="G22" s="157">
        <f t="shared" ref="G22:I22" si="5">F22*1.025</f>
        <v>153.75</v>
      </c>
      <c r="H22" s="157">
        <f t="shared" si="5"/>
        <v>157.59375</v>
      </c>
      <c r="I22" s="157">
        <f t="shared" si="5"/>
        <v>161.53359374999999</v>
      </c>
      <c r="J22" s="158"/>
      <c r="K22" s="144"/>
      <c r="L22" s="145"/>
      <c r="M22" s="162"/>
      <c r="N22" s="159" t="s">
        <v>29</v>
      </c>
      <c r="O22" s="160"/>
      <c r="P22" s="12"/>
      <c r="Q22" s="12"/>
      <c r="R22" s="12"/>
      <c r="S22" s="12"/>
      <c r="T22" s="12"/>
      <c r="U22" s="12"/>
      <c r="V22" s="12"/>
      <c r="W22" s="12"/>
      <c r="X22" s="12"/>
      <c r="Y22" s="12"/>
      <c r="Z22" s="12"/>
    </row>
    <row r="23" spans="1:26" ht="12.75" customHeight="1" x14ac:dyDescent="0.15">
      <c r="A23" s="12"/>
      <c r="B23" s="155" t="s">
        <v>134</v>
      </c>
      <c r="C23" s="156"/>
      <c r="D23" s="157"/>
      <c r="E23" s="157">
        <v>200</v>
      </c>
      <c r="F23" s="157">
        <f t="shared" ref="F23:I23" si="6">E23*1.05</f>
        <v>210</v>
      </c>
      <c r="G23" s="157">
        <f t="shared" si="6"/>
        <v>220.5</v>
      </c>
      <c r="H23" s="157">
        <f t="shared" si="6"/>
        <v>231.52500000000001</v>
      </c>
      <c r="I23" s="157">
        <f t="shared" si="6"/>
        <v>243.10125000000002</v>
      </c>
      <c r="J23" s="158"/>
      <c r="K23" s="144"/>
      <c r="L23" s="145"/>
      <c r="M23" s="162"/>
      <c r="N23" s="159" t="s">
        <v>27</v>
      </c>
      <c r="O23" s="160"/>
      <c r="P23" s="12"/>
      <c r="Q23" s="12"/>
      <c r="R23" s="12"/>
      <c r="S23" s="12"/>
      <c r="T23" s="12"/>
      <c r="U23" s="12"/>
      <c r="V23" s="12"/>
      <c r="W23" s="12"/>
      <c r="X23" s="12"/>
      <c r="Y23" s="12"/>
      <c r="Z23" s="12"/>
    </row>
    <row r="24" spans="1:26" ht="12.75" customHeight="1" x14ac:dyDescent="0.15">
      <c r="A24" s="12"/>
      <c r="B24" s="156" t="s">
        <v>135</v>
      </c>
      <c r="C24" s="163"/>
      <c r="D24" s="157"/>
      <c r="E24" s="157">
        <v>0</v>
      </c>
      <c r="F24" s="157">
        <v>0</v>
      </c>
      <c r="G24" s="157">
        <v>300</v>
      </c>
      <c r="H24" s="157">
        <f t="shared" ref="H24:I24" si="7">G24*1.05</f>
        <v>315</v>
      </c>
      <c r="I24" s="157">
        <f t="shared" si="7"/>
        <v>330.75</v>
      </c>
      <c r="J24" s="158"/>
      <c r="K24" s="144"/>
      <c r="L24" s="145"/>
      <c r="M24" s="144"/>
      <c r="N24" s="159" t="s">
        <v>27</v>
      </c>
      <c r="O24" s="160"/>
      <c r="P24" s="12"/>
      <c r="Q24" s="12"/>
      <c r="R24" s="12"/>
      <c r="S24" s="12"/>
      <c r="T24" s="12"/>
      <c r="U24" s="12"/>
      <c r="V24" s="12"/>
      <c r="W24" s="12"/>
      <c r="X24" s="12"/>
      <c r="Y24" s="12"/>
      <c r="Z24" s="12"/>
    </row>
    <row r="25" spans="1:26" ht="12.75" customHeight="1" x14ac:dyDescent="0.15">
      <c r="A25" s="12"/>
      <c r="B25" s="156" t="s">
        <v>136</v>
      </c>
      <c r="C25" s="148"/>
      <c r="D25" s="157"/>
      <c r="E25" s="157">
        <v>1000</v>
      </c>
      <c r="F25" s="157">
        <v>250</v>
      </c>
      <c r="G25" s="157">
        <v>0</v>
      </c>
      <c r="H25" s="157">
        <v>0</v>
      </c>
      <c r="I25" s="157">
        <v>0</v>
      </c>
      <c r="J25" s="158"/>
      <c r="K25" s="144"/>
      <c r="L25" s="145"/>
      <c r="M25" s="144"/>
      <c r="N25" s="159" t="s">
        <v>29</v>
      </c>
      <c r="O25" s="160"/>
      <c r="P25" s="12"/>
      <c r="Q25" s="12"/>
      <c r="R25" s="12"/>
      <c r="S25" s="12"/>
      <c r="T25" s="12"/>
      <c r="U25" s="12"/>
      <c r="V25" s="12"/>
      <c r="W25" s="12"/>
      <c r="X25" s="12"/>
      <c r="Y25" s="12"/>
      <c r="Z25" s="12"/>
    </row>
    <row r="26" spans="1:26" ht="12.75" customHeight="1" x14ac:dyDescent="0.15">
      <c r="A26" s="12"/>
      <c r="B26" s="156" t="s">
        <v>137</v>
      </c>
      <c r="C26" s="148"/>
      <c r="D26" s="157"/>
      <c r="E26" s="157">
        <v>0</v>
      </c>
      <c r="F26" s="157">
        <v>150</v>
      </c>
      <c r="G26" s="157">
        <f t="shared" ref="G26:I26" si="8">F26*1.025</f>
        <v>153.75</v>
      </c>
      <c r="H26" s="157">
        <f t="shared" si="8"/>
        <v>157.59375</v>
      </c>
      <c r="I26" s="157">
        <f t="shared" si="8"/>
        <v>161.53359374999999</v>
      </c>
      <c r="J26" s="158"/>
      <c r="K26" s="144"/>
      <c r="L26" s="145"/>
      <c r="M26" s="144"/>
      <c r="N26" s="159" t="s">
        <v>27</v>
      </c>
      <c r="O26" s="160"/>
      <c r="P26" s="12"/>
      <c r="Q26" s="12"/>
      <c r="R26" s="12"/>
      <c r="S26" s="12"/>
      <c r="T26" s="12"/>
      <c r="U26" s="12"/>
      <c r="V26" s="12"/>
      <c r="W26" s="12"/>
      <c r="X26" s="12"/>
      <c r="Y26" s="12"/>
      <c r="Z26" s="12"/>
    </row>
    <row r="27" spans="1:26" ht="12.75" customHeight="1" x14ac:dyDescent="0.15">
      <c r="A27" s="12"/>
      <c r="B27" s="156" t="s">
        <v>138</v>
      </c>
      <c r="C27" s="148"/>
      <c r="D27" s="157"/>
      <c r="E27" s="157">
        <v>0</v>
      </c>
      <c r="F27" s="157">
        <v>100</v>
      </c>
      <c r="G27" s="157">
        <f t="shared" ref="G27:I27" si="9">F27*1.025</f>
        <v>102.49999999999999</v>
      </c>
      <c r="H27" s="157">
        <f t="shared" si="9"/>
        <v>105.06249999999997</v>
      </c>
      <c r="I27" s="157">
        <f t="shared" si="9"/>
        <v>107.68906249999996</v>
      </c>
      <c r="J27" s="158"/>
      <c r="K27" s="144"/>
      <c r="L27" s="145"/>
      <c r="M27" s="144"/>
      <c r="N27" s="159" t="s">
        <v>27</v>
      </c>
      <c r="O27" s="160"/>
      <c r="P27" s="12"/>
      <c r="Q27" s="12"/>
      <c r="R27" s="12"/>
      <c r="S27" s="12"/>
      <c r="T27" s="12"/>
      <c r="U27" s="12"/>
      <c r="V27" s="12"/>
      <c r="W27" s="12"/>
      <c r="X27" s="12"/>
      <c r="Y27" s="12"/>
      <c r="Z27" s="12"/>
    </row>
    <row r="28" spans="1:26" ht="12.75" customHeight="1" x14ac:dyDescent="0.15">
      <c r="A28" s="12"/>
      <c r="B28" s="155" t="s">
        <v>139</v>
      </c>
      <c r="C28" s="148"/>
      <c r="D28" s="157"/>
      <c r="E28" s="157">
        <v>0</v>
      </c>
      <c r="F28" s="157">
        <v>365</v>
      </c>
      <c r="G28" s="157">
        <f t="shared" ref="G28:I28" si="10">F28*1.04</f>
        <v>379.6</v>
      </c>
      <c r="H28" s="157">
        <f t="shared" si="10"/>
        <v>394.78400000000005</v>
      </c>
      <c r="I28" s="157">
        <f t="shared" si="10"/>
        <v>410.57536000000005</v>
      </c>
      <c r="J28" s="158"/>
      <c r="K28" s="144"/>
      <c r="L28" s="145"/>
      <c r="M28" s="144"/>
      <c r="N28" s="159" t="s">
        <v>31</v>
      </c>
      <c r="O28" s="160"/>
      <c r="P28" s="12"/>
      <c r="Q28" s="12"/>
      <c r="R28" s="12"/>
      <c r="S28" s="12"/>
      <c r="T28" s="12"/>
      <c r="U28" s="12"/>
      <c r="V28" s="12"/>
      <c r="W28" s="12"/>
      <c r="X28" s="12"/>
      <c r="Y28" s="12"/>
      <c r="Z28" s="12"/>
    </row>
    <row r="29" spans="1:26" ht="12.75" customHeight="1" x14ac:dyDescent="0.15">
      <c r="A29" s="12"/>
      <c r="B29" s="155" t="s">
        <v>140</v>
      </c>
      <c r="C29" s="148"/>
      <c r="D29" s="157"/>
      <c r="E29" s="157">
        <f>F29/4</f>
        <v>90</v>
      </c>
      <c r="F29" s="157">
        <f>360</f>
        <v>360</v>
      </c>
      <c r="G29" s="157">
        <f t="shared" ref="G29:I29" si="11">F29*1.03</f>
        <v>370.8</v>
      </c>
      <c r="H29" s="157">
        <f t="shared" si="11"/>
        <v>381.92400000000004</v>
      </c>
      <c r="I29" s="157">
        <f t="shared" si="11"/>
        <v>393.38172000000003</v>
      </c>
      <c r="J29" s="158"/>
      <c r="K29" s="144"/>
      <c r="L29" s="145"/>
      <c r="M29" s="144"/>
      <c r="N29" s="159" t="s">
        <v>29</v>
      </c>
      <c r="O29" s="160"/>
      <c r="P29" s="12"/>
      <c r="Q29" s="12"/>
      <c r="R29" s="12"/>
      <c r="S29" s="12"/>
      <c r="T29" s="12"/>
      <c r="U29" s="12"/>
      <c r="V29" s="12"/>
      <c r="W29" s="12"/>
      <c r="X29" s="12"/>
      <c r="Y29" s="12"/>
      <c r="Z29" s="12"/>
    </row>
    <row r="30" spans="1:26" ht="12.75" customHeight="1" x14ac:dyDescent="0.15">
      <c r="A30" s="12"/>
      <c r="B30" s="155" t="s">
        <v>141</v>
      </c>
      <c r="C30" s="156"/>
      <c r="D30" s="157"/>
      <c r="E30" s="157">
        <f>365*4*0.22</f>
        <v>321.2</v>
      </c>
      <c r="F30" s="157">
        <f t="shared" ref="F30:I30" si="12">E30*1.05</f>
        <v>337.26</v>
      </c>
      <c r="G30" s="157">
        <f t="shared" si="12"/>
        <v>354.12299999999999</v>
      </c>
      <c r="H30" s="157">
        <f t="shared" si="12"/>
        <v>371.82915000000003</v>
      </c>
      <c r="I30" s="157">
        <f t="shared" si="12"/>
        <v>390.42060750000002</v>
      </c>
      <c r="J30" s="158"/>
      <c r="K30" s="144"/>
      <c r="L30" s="145"/>
      <c r="M30" s="144"/>
      <c r="N30" s="159" t="s">
        <v>29</v>
      </c>
      <c r="O30" s="160"/>
      <c r="P30" s="12"/>
      <c r="Q30" s="12"/>
      <c r="R30" s="12"/>
      <c r="S30" s="12"/>
      <c r="T30" s="12"/>
      <c r="U30" s="12"/>
      <c r="V30" s="12"/>
      <c r="W30" s="12"/>
      <c r="X30" s="12"/>
      <c r="Y30" s="12"/>
      <c r="Z30" s="12"/>
    </row>
    <row r="31" spans="1:26" ht="12.75" customHeight="1" x14ac:dyDescent="0.15">
      <c r="A31" s="12"/>
      <c r="B31" s="156" t="s">
        <v>142</v>
      </c>
      <c r="C31" s="156"/>
      <c r="D31" s="157"/>
      <c r="E31" s="157">
        <v>0</v>
      </c>
      <c r="F31" s="157">
        <v>100</v>
      </c>
      <c r="G31" s="157">
        <f t="shared" ref="G31:I31" si="13">F31*1.05</f>
        <v>105</v>
      </c>
      <c r="H31" s="157">
        <f t="shared" si="13"/>
        <v>110.25</v>
      </c>
      <c r="I31" s="157">
        <f t="shared" si="13"/>
        <v>115.7625</v>
      </c>
      <c r="J31" s="158"/>
      <c r="K31" s="144"/>
      <c r="L31" s="145"/>
      <c r="M31" s="144"/>
      <c r="N31" s="159" t="s">
        <v>27</v>
      </c>
      <c r="O31" s="160"/>
      <c r="P31" s="12"/>
      <c r="Q31" s="12"/>
      <c r="R31" s="12"/>
      <c r="S31" s="12"/>
      <c r="T31" s="12"/>
      <c r="U31" s="12"/>
      <c r="V31" s="12"/>
      <c r="W31" s="12"/>
      <c r="X31" s="12"/>
      <c r="Y31" s="12"/>
      <c r="Z31" s="12"/>
    </row>
    <row r="32" spans="1:26" ht="3.75" customHeight="1" x14ac:dyDescent="0.15">
      <c r="A32" s="12"/>
      <c r="B32" s="156"/>
      <c r="C32" s="156"/>
      <c r="D32" s="161"/>
      <c r="E32" s="164"/>
      <c r="F32" s="164"/>
      <c r="G32" s="164"/>
      <c r="H32" s="164"/>
      <c r="I32" s="164"/>
      <c r="J32" s="158"/>
      <c r="K32" s="144"/>
      <c r="L32" s="145"/>
      <c r="M32" s="144"/>
      <c r="N32" s="165"/>
      <c r="O32" s="160"/>
      <c r="P32" s="12"/>
      <c r="Q32" s="12"/>
      <c r="R32" s="12"/>
      <c r="S32" s="12"/>
      <c r="T32" s="12"/>
      <c r="U32" s="12"/>
      <c r="V32" s="12"/>
      <c r="W32" s="12"/>
      <c r="X32" s="12"/>
      <c r="Y32" s="12"/>
      <c r="Z32" s="12"/>
    </row>
    <row r="33" spans="1:26" ht="12.75" customHeight="1" x14ac:dyDescent="0.15">
      <c r="A33" s="12"/>
      <c r="B33" s="166" t="s">
        <v>143</v>
      </c>
      <c r="C33" s="166"/>
      <c r="D33" s="167"/>
      <c r="E33" s="168">
        <f t="shared" ref="E33:I33" si="14">SUM(E6:E32)</f>
        <v>979.625</v>
      </c>
      <c r="F33" s="168">
        <f t="shared" si="14"/>
        <v>2124.9775</v>
      </c>
      <c r="G33" s="168">
        <f t="shared" si="14"/>
        <v>2840.4580000000001</v>
      </c>
      <c r="H33" s="168">
        <f t="shared" si="14"/>
        <v>3108.963025</v>
      </c>
      <c r="I33" s="168">
        <f t="shared" si="14"/>
        <v>3276.5465887499995</v>
      </c>
      <c r="J33" s="169"/>
      <c r="K33" s="144"/>
      <c r="L33" s="145"/>
      <c r="M33" s="144"/>
      <c r="N33" s="146"/>
      <c r="O33" s="170"/>
      <c r="P33" s="12"/>
      <c r="Q33" s="12"/>
      <c r="R33" s="12"/>
      <c r="S33" s="12"/>
      <c r="T33" s="12"/>
      <c r="U33" s="12"/>
      <c r="V33" s="12"/>
      <c r="W33" s="12"/>
      <c r="X33" s="12"/>
      <c r="Y33" s="12"/>
      <c r="Z33" s="12"/>
    </row>
    <row r="34" spans="1:26" ht="7.5" customHeight="1" x14ac:dyDescent="0.15">
      <c r="A34" s="12"/>
      <c r="B34" s="144"/>
      <c r="C34" s="144"/>
      <c r="D34" s="144"/>
      <c r="E34" s="171"/>
      <c r="F34" s="171"/>
      <c r="G34" s="171"/>
      <c r="H34" s="171"/>
      <c r="I34" s="171"/>
      <c r="J34" s="144"/>
      <c r="K34" s="144"/>
      <c r="L34" s="145"/>
      <c r="M34" s="144"/>
      <c r="N34" s="146"/>
      <c r="O34" s="170"/>
      <c r="P34" s="12"/>
      <c r="Q34" s="12"/>
      <c r="R34" s="12"/>
      <c r="S34" s="12"/>
      <c r="T34" s="12"/>
      <c r="U34" s="12"/>
      <c r="V34" s="12"/>
      <c r="W34" s="12"/>
      <c r="X34" s="12"/>
      <c r="Y34" s="12"/>
      <c r="Z34" s="12"/>
    </row>
    <row r="35" spans="1:26" ht="12.75" customHeight="1" x14ac:dyDescent="0.15">
      <c r="A35" s="12"/>
      <c r="B35" s="139"/>
      <c r="C35" s="139"/>
      <c r="D35" s="102"/>
      <c r="E35" s="102" t="s">
        <v>20</v>
      </c>
      <c r="F35" s="102" t="s">
        <v>21</v>
      </c>
      <c r="G35" s="102" t="s">
        <v>22</v>
      </c>
      <c r="H35" s="102" t="s">
        <v>23</v>
      </c>
      <c r="I35" s="102" t="s">
        <v>24</v>
      </c>
      <c r="J35" s="102"/>
      <c r="K35" s="12"/>
      <c r="L35" s="138"/>
      <c r="M35" s="12"/>
      <c r="N35" s="140" t="s">
        <v>144</v>
      </c>
      <c r="O35" s="140" t="s">
        <v>145</v>
      </c>
      <c r="P35" s="12"/>
      <c r="Q35" s="12"/>
      <c r="R35" s="12"/>
      <c r="S35" s="12"/>
      <c r="T35" s="12"/>
      <c r="U35" s="12"/>
      <c r="V35" s="12"/>
      <c r="W35" s="12"/>
      <c r="X35" s="12"/>
      <c r="Y35" s="12"/>
      <c r="Z35" s="12"/>
    </row>
    <row r="36" spans="1:26" ht="12.75" customHeight="1" x14ac:dyDescent="0.15">
      <c r="A36" s="12"/>
      <c r="B36" s="172" t="s">
        <v>146</v>
      </c>
      <c r="C36" s="172"/>
      <c r="D36" s="144"/>
      <c r="E36" s="171"/>
      <c r="F36" s="173"/>
      <c r="G36" s="173"/>
      <c r="H36" s="173"/>
      <c r="I36" s="173"/>
      <c r="J36" s="144"/>
      <c r="K36" s="144"/>
      <c r="L36" s="145"/>
      <c r="M36" s="144"/>
      <c r="N36" s="146"/>
      <c r="O36" s="170"/>
      <c r="P36" s="12"/>
      <c r="Q36" s="12"/>
      <c r="R36" s="12"/>
      <c r="S36" s="12"/>
      <c r="T36" s="12"/>
      <c r="U36" s="12"/>
      <c r="V36" s="12"/>
      <c r="W36" s="12"/>
      <c r="X36" s="12"/>
      <c r="Y36" s="12"/>
      <c r="Z36" s="12"/>
    </row>
    <row r="37" spans="1:26" ht="12.75" customHeight="1" x14ac:dyDescent="0.15">
      <c r="A37" s="12"/>
      <c r="B37" s="174" t="s">
        <v>147</v>
      </c>
      <c r="C37" s="175"/>
      <c r="D37" s="176"/>
      <c r="E37" s="177"/>
      <c r="F37" s="177"/>
      <c r="G37" s="177"/>
      <c r="H37" s="177"/>
      <c r="I37" s="177"/>
      <c r="J37" s="178"/>
      <c r="K37" s="179"/>
      <c r="L37" s="180"/>
      <c r="M37" s="179"/>
      <c r="N37" s="181" t="s">
        <v>148</v>
      </c>
      <c r="O37" s="182"/>
      <c r="P37" s="12"/>
      <c r="Q37" s="12"/>
      <c r="R37" s="12"/>
      <c r="S37" s="12"/>
      <c r="T37" s="12"/>
      <c r="U37" s="12"/>
      <c r="V37" s="12"/>
      <c r="W37" s="12"/>
      <c r="X37" s="12"/>
      <c r="Y37" s="12"/>
      <c r="Z37" s="12"/>
    </row>
    <row r="38" spans="1:26" ht="12.75" customHeight="1" x14ac:dyDescent="0.15">
      <c r="A38" s="12"/>
      <c r="B38" s="183" t="s">
        <v>149</v>
      </c>
      <c r="C38" s="184"/>
      <c r="D38" s="185"/>
      <c r="E38" s="186">
        <v>0</v>
      </c>
      <c r="F38" s="186">
        <v>-75</v>
      </c>
      <c r="G38" s="186">
        <f t="shared" ref="G38:H38" si="15">F38*1.025</f>
        <v>-76.875</v>
      </c>
      <c r="H38" s="186">
        <f t="shared" si="15"/>
        <v>-78.796875</v>
      </c>
      <c r="I38" s="186">
        <v>0</v>
      </c>
      <c r="J38" s="187"/>
      <c r="K38" s="144"/>
      <c r="L38" s="145"/>
      <c r="M38" s="144"/>
      <c r="N38" s="188" t="s">
        <v>150</v>
      </c>
      <c r="O38" s="189"/>
      <c r="P38" s="12"/>
      <c r="Q38" s="12"/>
      <c r="R38" s="12"/>
      <c r="S38" s="12"/>
      <c r="T38" s="12"/>
      <c r="U38" s="12"/>
      <c r="V38" s="12"/>
      <c r="W38" s="12"/>
      <c r="X38" s="12"/>
      <c r="Y38" s="12"/>
      <c r="Z38" s="12"/>
    </row>
    <row r="39" spans="1:26" ht="12.75" customHeight="1" x14ac:dyDescent="0.15">
      <c r="A39" s="12"/>
      <c r="B39" s="174" t="s">
        <v>120</v>
      </c>
      <c r="C39" s="175"/>
      <c r="D39" s="176"/>
      <c r="E39" s="177"/>
      <c r="F39" s="177"/>
      <c r="G39" s="177"/>
      <c r="H39" s="177"/>
      <c r="I39" s="177"/>
      <c r="J39" s="178"/>
      <c r="K39" s="179"/>
      <c r="L39" s="180"/>
      <c r="M39" s="179"/>
      <c r="N39" s="181" t="s">
        <v>148</v>
      </c>
      <c r="O39" s="182"/>
      <c r="P39" s="12"/>
      <c r="Q39" s="12"/>
      <c r="R39" s="12"/>
      <c r="S39" s="12"/>
      <c r="T39" s="12"/>
      <c r="U39" s="12"/>
      <c r="V39" s="12"/>
      <c r="W39" s="12"/>
      <c r="X39" s="12"/>
      <c r="Y39" s="12"/>
      <c r="Z39" s="12"/>
    </row>
    <row r="40" spans="1:26" ht="12.75" customHeight="1" x14ac:dyDescent="0.15">
      <c r="A40" s="12"/>
      <c r="B40" s="183" t="s">
        <v>151</v>
      </c>
      <c r="C40" s="184"/>
      <c r="D40" s="185"/>
      <c r="E40" s="186">
        <v>-6300</v>
      </c>
      <c r="F40" s="186">
        <v>0</v>
      </c>
      <c r="G40" s="186">
        <v>0</v>
      </c>
      <c r="H40" s="186">
        <v>0</v>
      </c>
      <c r="I40" s="186">
        <v>0</v>
      </c>
      <c r="J40" s="187"/>
      <c r="K40" s="144"/>
      <c r="L40" s="145"/>
      <c r="M40" s="144"/>
      <c r="N40" s="188" t="s">
        <v>40</v>
      </c>
      <c r="O40" s="189"/>
      <c r="P40" s="12"/>
      <c r="Q40" s="12"/>
      <c r="R40" s="12"/>
      <c r="S40" s="12"/>
      <c r="T40" s="12"/>
      <c r="U40" s="12"/>
      <c r="V40" s="12"/>
      <c r="W40" s="12"/>
      <c r="X40" s="12"/>
      <c r="Y40" s="12"/>
      <c r="Z40" s="12"/>
    </row>
    <row r="41" spans="1:26" ht="12.75" customHeight="1" x14ac:dyDescent="0.15">
      <c r="A41" s="12"/>
      <c r="B41" s="183" t="s">
        <v>152</v>
      </c>
      <c r="C41" s="184"/>
      <c r="D41" s="185"/>
      <c r="E41" s="186">
        <v>0</v>
      </c>
      <c r="F41" s="186">
        <v>-10</v>
      </c>
      <c r="G41" s="186">
        <f t="shared" ref="G41:I41" si="16">F41*1.025</f>
        <v>-10.25</v>
      </c>
      <c r="H41" s="186">
        <f t="shared" si="16"/>
        <v>-10.50625</v>
      </c>
      <c r="I41" s="186">
        <f t="shared" si="16"/>
        <v>-10.768906249999999</v>
      </c>
      <c r="J41" s="187"/>
      <c r="K41" s="144"/>
      <c r="L41" s="145"/>
      <c r="M41" s="144"/>
      <c r="N41" s="188" t="s">
        <v>45</v>
      </c>
      <c r="O41" s="189"/>
      <c r="P41" s="12"/>
      <c r="Q41" s="12"/>
      <c r="R41" s="12"/>
      <c r="S41" s="12"/>
      <c r="T41" s="12"/>
      <c r="U41" s="12"/>
      <c r="V41" s="12"/>
      <c r="W41" s="12"/>
      <c r="X41" s="12"/>
      <c r="Y41" s="12"/>
      <c r="Z41" s="12"/>
    </row>
    <row r="42" spans="1:26" ht="12.75" customHeight="1" x14ac:dyDescent="0.15">
      <c r="A42" s="12"/>
      <c r="B42" s="174" t="s">
        <v>123</v>
      </c>
      <c r="C42" s="175"/>
      <c r="D42" s="176"/>
      <c r="E42" s="177"/>
      <c r="F42" s="177"/>
      <c r="G42" s="177"/>
      <c r="H42" s="177"/>
      <c r="I42" s="177"/>
      <c r="J42" s="178"/>
      <c r="K42" s="179"/>
      <c r="L42" s="180"/>
      <c r="M42" s="179"/>
      <c r="N42" s="181" t="s">
        <v>148</v>
      </c>
      <c r="O42" s="182"/>
      <c r="P42" s="12"/>
      <c r="Q42" s="12"/>
      <c r="R42" s="12"/>
      <c r="S42" s="12"/>
      <c r="T42" s="12"/>
      <c r="U42" s="12"/>
      <c r="V42" s="12"/>
      <c r="W42" s="12"/>
      <c r="X42" s="12"/>
      <c r="Y42" s="12"/>
      <c r="Z42" s="12"/>
    </row>
    <row r="43" spans="1:26" ht="12.75" customHeight="1" x14ac:dyDescent="0.15">
      <c r="A43" s="12"/>
      <c r="B43" s="183" t="s">
        <v>153</v>
      </c>
      <c r="C43" s="184"/>
      <c r="D43" s="185"/>
      <c r="E43" s="186">
        <v>-200</v>
      </c>
      <c r="F43" s="186">
        <v>-1000</v>
      </c>
      <c r="G43" s="186">
        <v>-1500</v>
      </c>
      <c r="H43" s="186">
        <v>-2000</v>
      </c>
      <c r="I43" s="186">
        <v>-3000</v>
      </c>
      <c r="J43" s="187"/>
      <c r="K43" s="144"/>
      <c r="L43" s="145"/>
      <c r="M43" s="144"/>
      <c r="N43" s="188" t="s">
        <v>40</v>
      </c>
      <c r="O43" s="189"/>
      <c r="P43" s="12"/>
      <c r="Q43" s="12"/>
      <c r="R43" s="12"/>
      <c r="S43" s="12"/>
      <c r="T43" s="12"/>
      <c r="U43" s="12"/>
      <c r="V43" s="12"/>
      <c r="W43" s="12"/>
      <c r="X43" s="12"/>
      <c r="Y43" s="12"/>
      <c r="Z43" s="12"/>
    </row>
    <row r="44" spans="1:26" ht="12.75" customHeight="1" x14ac:dyDescent="0.15">
      <c r="A44" s="12"/>
      <c r="B44" s="183" t="s">
        <v>154</v>
      </c>
      <c r="C44" s="184"/>
      <c r="D44" s="185"/>
      <c r="E44" s="186">
        <v>0</v>
      </c>
      <c r="F44" s="186">
        <v>-12</v>
      </c>
      <c r="G44" s="186">
        <v>-14</v>
      </c>
      <c r="H44" s="186">
        <v>-16</v>
      </c>
      <c r="I44" s="186">
        <v>-18</v>
      </c>
      <c r="J44" s="187"/>
      <c r="K44" s="144"/>
      <c r="L44" s="145"/>
      <c r="M44" s="144"/>
      <c r="N44" s="188" t="s">
        <v>40</v>
      </c>
      <c r="O44" s="189"/>
      <c r="P44" s="12"/>
      <c r="Q44" s="12"/>
      <c r="R44" s="12"/>
      <c r="S44" s="12"/>
      <c r="T44" s="12"/>
      <c r="U44" s="12"/>
      <c r="V44" s="12"/>
      <c r="W44" s="12"/>
      <c r="X44" s="12"/>
      <c r="Y44" s="12"/>
      <c r="Z44" s="12"/>
    </row>
    <row r="45" spans="1:26" ht="12.75" customHeight="1" x14ac:dyDescent="0.15">
      <c r="A45" s="12"/>
      <c r="B45" s="174" t="s">
        <v>155</v>
      </c>
      <c r="C45" s="175"/>
      <c r="D45" s="176"/>
      <c r="E45" s="177"/>
      <c r="F45" s="177"/>
      <c r="G45" s="177"/>
      <c r="H45" s="177"/>
      <c r="I45" s="177"/>
      <c r="J45" s="178"/>
      <c r="K45" s="179"/>
      <c r="L45" s="180"/>
      <c r="M45" s="179"/>
      <c r="N45" s="181" t="s">
        <v>148</v>
      </c>
      <c r="O45" s="182"/>
      <c r="P45" s="12"/>
      <c r="Q45" s="12"/>
      <c r="R45" s="12"/>
      <c r="S45" s="12"/>
      <c r="T45" s="12"/>
      <c r="U45" s="12"/>
      <c r="V45" s="12"/>
      <c r="W45" s="12"/>
      <c r="X45" s="12"/>
      <c r="Y45" s="12"/>
      <c r="Z45" s="12"/>
    </row>
    <row r="46" spans="1:26" ht="15.75" customHeight="1" x14ac:dyDescent="0.15">
      <c r="A46" s="12"/>
      <c r="B46" s="183" t="s">
        <v>156</v>
      </c>
      <c r="C46" s="184"/>
      <c r="D46" s="185"/>
      <c r="E46" s="186">
        <v>0</v>
      </c>
      <c r="F46" s="186">
        <v>700</v>
      </c>
      <c r="G46" s="186">
        <f t="shared" ref="G46:I46" si="17">F46*1.05</f>
        <v>735</v>
      </c>
      <c r="H46" s="186">
        <f t="shared" si="17"/>
        <v>771.75</v>
      </c>
      <c r="I46" s="186">
        <f t="shared" si="17"/>
        <v>810.33750000000009</v>
      </c>
      <c r="J46" s="187"/>
      <c r="K46" s="144"/>
      <c r="L46" s="145"/>
      <c r="M46" s="162"/>
      <c r="N46" s="188" t="s">
        <v>40</v>
      </c>
      <c r="O46" s="189"/>
      <c r="P46" s="12"/>
      <c r="Q46" s="12"/>
      <c r="R46" s="12"/>
      <c r="S46" s="12"/>
      <c r="T46" s="12"/>
      <c r="U46" s="12"/>
      <c r="V46" s="12"/>
      <c r="W46" s="12"/>
      <c r="X46" s="12"/>
      <c r="Y46" s="12"/>
      <c r="Z46" s="12"/>
    </row>
    <row r="47" spans="1:26" ht="15.75" customHeight="1" x14ac:dyDescent="0.15">
      <c r="A47" s="12"/>
      <c r="B47" s="183" t="s">
        <v>157</v>
      </c>
      <c r="C47" s="184"/>
      <c r="D47" s="185"/>
      <c r="E47" s="186">
        <v>0</v>
      </c>
      <c r="F47" s="186">
        <v>600</v>
      </c>
      <c r="G47" s="186">
        <v>800</v>
      </c>
      <c r="H47" s="186">
        <v>1000</v>
      </c>
      <c r="I47" s="186">
        <v>1200</v>
      </c>
      <c r="J47" s="187"/>
      <c r="K47" s="144"/>
      <c r="L47" s="145"/>
      <c r="M47" s="144"/>
      <c r="N47" s="188" t="s">
        <v>40</v>
      </c>
      <c r="O47" s="189"/>
      <c r="P47" s="12"/>
      <c r="Q47" s="12"/>
      <c r="R47" s="12"/>
      <c r="S47" s="12"/>
      <c r="T47" s="12"/>
      <c r="U47" s="12"/>
      <c r="V47" s="12"/>
      <c r="W47" s="12"/>
      <c r="X47" s="12"/>
      <c r="Y47" s="12"/>
      <c r="Z47" s="12"/>
    </row>
    <row r="48" spans="1:26" ht="12.75" customHeight="1" x14ac:dyDescent="0.15">
      <c r="A48" s="12"/>
      <c r="B48" s="183" t="s">
        <v>158</v>
      </c>
      <c r="C48" s="184"/>
      <c r="D48" s="185"/>
      <c r="E48" s="186">
        <v>0</v>
      </c>
      <c r="F48" s="186">
        <v>400</v>
      </c>
      <c r="G48" s="186">
        <v>600</v>
      </c>
      <c r="H48" s="186">
        <v>800</v>
      </c>
      <c r="I48" s="186">
        <v>1000</v>
      </c>
      <c r="J48" s="187"/>
      <c r="K48" s="144"/>
      <c r="L48" s="145"/>
      <c r="M48" s="144"/>
      <c r="N48" s="188" t="s">
        <v>40</v>
      </c>
      <c r="O48" s="189"/>
      <c r="P48" s="12"/>
      <c r="Q48" s="12"/>
      <c r="R48" s="12"/>
      <c r="S48" s="12"/>
      <c r="T48" s="12"/>
      <c r="U48" s="12"/>
      <c r="V48" s="12"/>
      <c r="W48" s="12"/>
      <c r="X48" s="12"/>
      <c r="Y48" s="12"/>
      <c r="Z48" s="12"/>
    </row>
    <row r="49" spans="1:26" ht="24" x14ac:dyDescent="0.15">
      <c r="A49" s="12"/>
      <c r="B49" s="183" t="s">
        <v>159</v>
      </c>
      <c r="C49" s="184"/>
      <c r="D49" s="185"/>
      <c r="E49" s="186">
        <v>0</v>
      </c>
      <c r="F49" s="186">
        <v>450</v>
      </c>
      <c r="G49" s="186">
        <f t="shared" ref="G49:I49" si="18">F49*1.05</f>
        <v>472.5</v>
      </c>
      <c r="H49" s="186">
        <f t="shared" si="18"/>
        <v>496.125</v>
      </c>
      <c r="I49" s="186">
        <f t="shared" si="18"/>
        <v>520.93124999999998</v>
      </c>
      <c r="J49" s="187"/>
      <c r="K49" s="144"/>
      <c r="L49" s="145"/>
      <c r="M49" s="144"/>
      <c r="N49" s="188" t="s">
        <v>40</v>
      </c>
      <c r="O49" s="189"/>
      <c r="P49" s="12"/>
      <c r="Q49" s="12"/>
      <c r="R49" s="12"/>
      <c r="S49" s="12"/>
      <c r="T49" s="12"/>
      <c r="U49" s="12"/>
      <c r="V49" s="12"/>
      <c r="W49" s="12"/>
      <c r="X49" s="12"/>
      <c r="Y49" s="12"/>
      <c r="Z49" s="12"/>
    </row>
    <row r="50" spans="1:26" ht="12.75" customHeight="1" x14ac:dyDescent="0.15">
      <c r="A50" s="12"/>
      <c r="B50" s="183" t="s">
        <v>160</v>
      </c>
      <c r="C50" s="184"/>
      <c r="D50" s="185"/>
      <c r="E50" s="186">
        <v>0</v>
      </c>
      <c r="F50" s="186">
        <v>-500</v>
      </c>
      <c r="G50" s="186">
        <f t="shared" ref="G50:I50" si="19">F50*1.05</f>
        <v>-525</v>
      </c>
      <c r="H50" s="186">
        <f t="shared" si="19"/>
        <v>-551.25</v>
      </c>
      <c r="I50" s="186">
        <f t="shared" si="19"/>
        <v>-578.8125</v>
      </c>
      <c r="J50" s="187"/>
      <c r="K50" s="144"/>
      <c r="L50" s="145"/>
      <c r="M50" s="144"/>
      <c r="N50" s="188" t="s">
        <v>40</v>
      </c>
      <c r="O50" s="189"/>
      <c r="P50" s="12"/>
      <c r="Q50" s="12"/>
      <c r="R50" s="12"/>
      <c r="S50" s="12"/>
      <c r="T50" s="12"/>
      <c r="U50" s="12"/>
      <c r="V50" s="12"/>
      <c r="W50" s="12"/>
      <c r="X50" s="12"/>
      <c r="Y50" s="12"/>
      <c r="Z50" s="12"/>
    </row>
    <row r="51" spans="1:26" ht="12.75" customHeight="1" x14ac:dyDescent="0.15">
      <c r="A51" s="12"/>
      <c r="B51" s="183" t="s">
        <v>161</v>
      </c>
      <c r="C51" s="184"/>
      <c r="D51" s="185"/>
      <c r="E51" s="186">
        <v>-100</v>
      </c>
      <c r="F51" s="186">
        <v>-460</v>
      </c>
      <c r="G51" s="186">
        <f t="shared" ref="G51:I51" si="20">F51*1.05</f>
        <v>-483</v>
      </c>
      <c r="H51" s="186">
        <f t="shared" si="20"/>
        <v>-507.15000000000003</v>
      </c>
      <c r="I51" s="186">
        <f t="shared" si="20"/>
        <v>-532.50750000000005</v>
      </c>
      <c r="J51" s="187"/>
      <c r="K51" s="144"/>
      <c r="L51" s="145"/>
      <c r="M51" s="144"/>
      <c r="N51" s="188" t="s">
        <v>45</v>
      </c>
      <c r="O51" s="189"/>
      <c r="P51" s="12"/>
      <c r="Q51" s="12"/>
      <c r="R51" s="12"/>
      <c r="S51" s="12"/>
      <c r="T51" s="12"/>
      <c r="U51" s="12"/>
      <c r="V51" s="12"/>
      <c r="W51" s="12"/>
      <c r="X51" s="12"/>
      <c r="Y51" s="12"/>
      <c r="Z51" s="12"/>
    </row>
    <row r="52" spans="1:26" ht="24" x14ac:dyDescent="0.15">
      <c r="A52" s="12"/>
      <c r="B52" s="183" t="s">
        <v>162</v>
      </c>
      <c r="C52" s="184"/>
      <c r="D52" s="185"/>
      <c r="E52" s="186">
        <v>0</v>
      </c>
      <c r="F52" s="186">
        <v>-6</v>
      </c>
      <c r="G52" s="186">
        <f t="shared" ref="G52:I52" si="21">F52*1.025</f>
        <v>-6.1499999999999995</v>
      </c>
      <c r="H52" s="186">
        <f t="shared" si="21"/>
        <v>-6.3037499999999991</v>
      </c>
      <c r="I52" s="186">
        <f t="shared" si="21"/>
        <v>-6.4613437499999984</v>
      </c>
      <c r="J52" s="187"/>
      <c r="K52" s="144"/>
      <c r="L52" s="145"/>
      <c r="M52" s="144"/>
      <c r="N52" s="188" t="s">
        <v>46</v>
      </c>
      <c r="O52" s="189"/>
      <c r="P52" s="12"/>
      <c r="Q52" s="12"/>
      <c r="R52" s="12"/>
      <c r="S52" s="12"/>
      <c r="T52" s="12"/>
      <c r="U52" s="12"/>
      <c r="V52" s="12"/>
      <c r="W52" s="12"/>
      <c r="X52" s="12"/>
      <c r="Y52" s="12"/>
      <c r="Z52" s="12"/>
    </row>
    <row r="53" spans="1:26" ht="12.75" customHeight="1" x14ac:dyDescent="0.15">
      <c r="A53" s="12"/>
      <c r="B53" s="183" t="s">
        <v>163</v>
      </c>
      <c r="C53" s="184"/>
      <c r="D53" s="185"/>
      <c r="E53" s="186">
        <v>-30</v>
      </c>
      <c r="F53" s="186">
        <v>-100</v>
      </c>
      <c r="G53" s="186">
        <v>-150</v>
      </c>
      <c r="H53" s="186">
        <v>-200</v>
      </c>
      <c r="I53" s="186">
        <v>-250</v>
      </c>
      <c r="J53" s="187"/>
      <c r="K53" s="144"/>
      <c r="L53" s="145"/>
      <c r="M53" s="144"/>
      <c r="N53" s="188" t="s">
        <v>40</v>
      </c>
      <c r="O53" s="189"/>
      <c r="P53" s="12"/>
      <c r="Q53" s="12"/>
      <c r="R53" s="12"/>
      <c r="S53" s="12"/>
      <c r="T53" s="12"/>
      <c r="U53" s="12"/>
      <c r="V53" s="12"/>
      <c r="W53" s="12"/>
      <c r="X53" s="12"/>
      <c r="Y53" s="12"/>
      <c r="Z53" s="12"/>
    </row>
    <row r="54" spans="1:26" ht="12.75" customHeight="1" x14ac:dyDescent="0.15">
      <c r="A54" s="12"/>
      <c r="B54" s="183" t="s">
        <v>164</v>
      </c>
      <c r="C54" s="184"/>
      <c r="D54" s="185"/>
      <c r="E54" s="186">
        <v>-10</v>
      </c>
      <c r="F54" s="186">
        <v>-40</v>
      </c>
      <c r="G54" s="186">
        <f t="shared" ref="G54:I54" si="22">F54*1.05</f>
        <v>-42</v>
      </c>
      <c r="H54" s="186">
        <f t="shared" si="22"/>
        <v>-44.1</v>
      </c>
      <c r="I54" s="186">
        <f t="shared" si="22"/>
        <v>-46.305000000000007</v>
      </c>
      <c r="J54" s="187"/>
      <c r="K54" s="144"/>
      <c r="L54" s="145"/>
      <c r="M54" s="144"/>
      <c r="N54" s="188" t="s">
        <v>40</v>
      </c>
      <c r="O54" s="189"/>
      <c r="P54" s="12"/>
      <c r="Q54" s="12"/>
      <c r="R54" s="12"/>
      <c r="S54" s="12"/>
      <c r="T54" s="12"/>
      <c r="U54" s="12"/>
      <c r="V54" s="12"/>
      <c r="W54" s="12"/>
      <c r="X54" s="12"/>
      <c r="Y54" s="12"/>
      <c r="Z54" s="12"/>
    </row>
    <row r="55" spans="1:26" ht="12.75" customHeight="1" x14ac:dyDescent="0.15">
      <c r="A55" s="12"/>
      <c r="B55" s="183" t="s">
        <v>165</v>
      </c>
      <c r="C55" s="184"/>
      <c r="D55" s="185"/>
      <c r="E55" s="186">
        <v>0</v>
      </c>
      <c r="F55" s="186">
        <v>-40</v>
      </c>
      <c r="G55" s="186">
        <v>-80</v>
      </c>
      <c r="H55" s="186">
        <v>-120</v>
      </c>
      <c r="I55" s="186">
        <v>-150</v>
      </c>
      <c r="J55" s="187"/>
      <c r="K55" s="144"/>
      <c r="L55" s="145"/>
      <c r="M55" s="144"/>
      <c r="N55" s="188" t="s">
        <v>40</v>
      </c>
      <c r="O55" s="189"/>
      <c r="P55" s="12"/>
      <c r="Q55" s="12"/>
      <c r="R55" s="12"/>
      <c r="S55" s="12"/>
      <c r="T55" s="12"/>
      <c r="U55" s="12"/>
      <c r="V55" s="12"/>
      <c r="W55" s="12"/>
      <c r="X55" s="12"/>
      <c r="Y55" s="12"/>
      <c r="Z55" s="12"/>
    </row>
    <row r="56" spans="1:26" ht="12.75" customHeight="1" x14ac:dyDescent="0.15">
      <c r="A56" s="12"/>
      <c r="B56" s="183" t="s">
        <v>166</v>
      </c>
      <c r="C56" s="184"/>
      <c r="D56" s="185"/>
      <c r="E56" s="186">
        <v>0</v>
      </c>
      <c r="F56" s="186">
        <v>-150</v>
      </c>
      <c r="G56" s="186">
        <v>-200</v>
      </c>
      <c r="H56" s="186">
        <v>-250</v>
      </c>
      <c r="I56" s="186">
        <v>-300</v>
      </c>
      <c r="J56" s="187"/>
      <c r="K56" s="144"/>
      <c r="L56" s="145"/>
      <c r="M56" s="144"/>
      <c r="N56" s="188" t="s">
        <v>40</v>
      </c>
      <c r="O56" s="189"/>
      <c r="P56" s="12"/>
      <c r="Q56" s="12"/>
      <c r="R56" s="12"/>
      <c r="S56" s="12"/>
      <c r="T56" s="12"/>
      <c r="U56" s="12"/>
      <c r="V56" s="12"/>
      <c r="W56" s="12"/>
      <c r="X56" s="12"/>
      <c r="Y56" s="12"/>
      <c r="Z56" s="12"/>
    </row>
    <row r="57" spans="1:26" ht="12.75" customHeight="1" x14ac:dyDescent="0.15">
      <c r="A57" s="12"/>
      <c r="B57" s="183" t="s">
        <v>167</v>
      </c>
      <c r="C57" s="184"/>
      <c r="D57" s="185"/>
      <c r="E57" s="186">
        <v>0</v>
      </c>
      <c r="F57" s="186">
        <v>-65</v>
      </c>
      <c r="G57" s="186">
        <f t="shared" ref="G57:I57" si="23">F57*1.025</f>
        <v>-66.625</v>
      </c>
      <c r="H57" s="186">
        <f t="shared" si="23"/>
        <v>-68.290624999999991</v>
      </c>
      <c r="I57" s="186">
        <f t="shared" si="23"/>
        <v>-69.997890624999982</v>
      </c>
      <c r="J57" s="187"/>
      <c r="K57" s="144"/>
      <c r="L57" s="145"/>
      <c r="M57" s="144"/>
      <c r="N57" s="188" t="s">
        <v>40</v>
      </c>
      <c r="O57" s="189"/>
      <c r="P57" s="12"/>
      <c r="Q57" s="12"/>
      <c r="R57" s="12"/>
      <c r="S57" s="12"/>
      <c r="T57" s="12"/>
      <c r="U57" s="12"/>
      <c r="V57" s="12"/>
      <c r="W57" s="12"/>
      <c r="X57" s="12"/>
      <c r="Y57" s="12"/>
      <c r="Z57" s="12"/>
    </row>
    <row r="58" spans="1:26" ht="12.75" customHeight="1" x14ac:dyDescent="0.15">
      <c r="A58" s="12"/>
      <c r="B58" s="174" t="s">
        <v>168</v>
      </c>
      <c r="C58" s="175"/>
      <c r="D58" s="176"/>
      <c r="E58" s="177"/>
      <c r="F58" s="177"/>
      <c r="G58" s="177"/>
      <c r="H58" s="177"/>
      <c r="I58" s="177"/>
      <c r="J58" s="178"/>
      <c r="K58" s="179"/>
      <c r="L58" s="180"/>
      <c r="M58" s="179"/>
      <c r="N58" s="181" t="s">
        <v>148</v>
      </c>
      <c r="O58" s="182"/>
      <c r="P58" s="12"/>
      <c r="Q58" s="12"/>
      <c r="R58" s="12"/>
      <c r="S58" s="12"/>
      <c r="T58" s="12"/>
      <c r="U58" s="12"/>
      <c r="V58" s="12"/>
      <c r="W58" s="12"/>
      <c r="X58" s="12"/>
      <c r="Y58" s="12"/>
      <c r="Z58" s="12"/>
    </row>
    <row r="59" spans="1:26" ht="12.75" customHeight="1" x14ac:dyDescent="0.15">
      <c r="A59" s="12"/>
      <c r="B59" s="184" t="s">
        <v>169</v>
      </c>
      <c r="C59" s="184"/>
      <c r="D59" s="185"/>
      <c r="E59" s="186">
        <v>0</v>
      </c>
      <c r="F59" s="186">
        <v>-1500</v>
      </c>
      <c r="G59" s="186">
        <f t="shared" ref="G59:I59" si="24">F59*1.025</f>
        <v>-1537.4999999999998</v>
      </c>
      <c r="H59" s="186">
        <f t="shared" si="24"/>
        <v>-1575.9374999999995</v>
      </c>
      <c r="I59" s="186">
        <f t="shared" si="24"/>
        <v>-1615.3359374999993</v>
      </c>
      <c r="J59" s="187"/>
      <c r="K59" s="144"/>
      <c r="L59" s="145"/>
      <c r="M59" s="144"/>
      <c r="N59" s="188" t="s">
        <v>48</v>
      </c>
      <c r="O59" s="189"/>
      <c r="P59" s="12"/>
      <c r="Q59" s="12"/>
      <c r="R59" s="12"/>
      <c r="S59" s="12"/>
      <c r="T59" s="12"/>
      <c r="U59" s="12"/>
      <c r="V59" s="12"/>
      <c r="W59" s="12"/>
      <c r="X59" s="12"/>
      <c r="Y59" s="12"/>
      <c r="Z59" s="12"/>
    </row>
    <row r="60" spans="1:26" ht="12.75" customHeight="1" x14ac:dyDescent="0.15">
      <c r="A60" s="12"/>
      <c r="B60" s="183" t="s">
        <v>170</v>
      </c>
      <c r="C60" s="184"/>
      <c r="D60" s="185"/>
      <c r="E60" s="186">
        <v>0</v>
      </c>
      <c r="F60" s="186">
        <v>-180</v>
      </c>
      <c r="G60" s="186">
        <f t="shared" ref="G60:I60" si="25">F60*1.05</f>
        <v>-189</v>
      </c>
      <c r="H60" s="186">
        <f t="shared" si="25"/>
        <v>-198.45000000000002</v>
      </c>
      <c r="I60" s="186">
        <f t="shared" si="25"/>
        <v>-208.37250000000003</v>
      </c>
      <c r="J60" s="187"/>
      <c r="K60" s="144"/>
      <c r="L60" s="145"/>
      <c r="M60" s="144"/>
      <c r="N60" s="188" t="s">
        <v>44</v>
      </c>
      <c r="O60" s="189"/>
      <c r="P60" s="12"/>
      <c r="Q60" s="12"/>
      <c r="R60" s="12"/>
      <c r="S60" s="12"/>
      <c r="T60" s="12"/>
      <c r="U60" s="12"/>
      <c r="V60" s="12"/>
      <c r="W60" s="12"/>
      <c r="X60" s="12"/>
      <c r="Y60" s="12"/>
      <c r="Z60" s="12"/>
    </row>
    <row r="61" spans="1:26" ht="12.75" customHeight="1" x14ac:dyDescent="0.15">
      <c r="A61" s="12"/>
      <c r="B61" s="183" t="s">
        <v>171</v>
      </c>
      <c r="C61" s="184"/>
      <c r="D61" s="185"/>
      <c r="E61" s="186">
        <v>0</v>
      </c>
      <c r="F61" s="186">
        <v>-975</v>
      </c>
      <c r="G61" s="186">
        <f t="shared" ref="G61:I61" si="26">F61*1.025</f>
        <v>-999.37499999999989</v>
      </c>
      <c r="H61" s="186">
        <f t="shared" si="26"/>
        <v>-1024.3593749999998</v>
      </c>
      <c r="I61" s="186">
        <f t="shared" si="26"/>
        <v>-1049.9683593749996</v>
      </c>
      <c r="J61" s="187"/>
      <c r="K61" s="144"/>
      <c r="L61" s="145"/>
      <c r="M61" s="144"/>
      <c r="N61" s="188" t="s">
        <v>48</v>
      </c>
      <c r="O61" s="189"/>
      <c r="P61" s="12"/>
      <c r="Q61" s="12"/>
      <c r="R61" s="12"/>
      <c r="S61" s="12"/>
      <c r="T61" s="12"/>
      <c r="U61" s="12"/>
      <c r="V61" s="12"/>
      <c r="W61" s="12"/>
      <c r="X61" s="12"/>
      <c r="Y61" s="12"/>
      <c r="Z61" s="12"/>
    </row>
    <row r="62" spans="1:26" ht="12.75" customHeight="1" x14ac:dyDescent="0.15">
      <c r="A62" s="12"/>
      <c r="B62" s="174" t="s">
        <v>125</v>
      </c>
      <c r="C62" s="175"/>
      <c r="D62" s="176"/>
      <c r="E62" s="177"/>
      <c r="F62" s="177"/>
      <c r="G62" s="177"/>
      <c r="H62" s="177"/>
      <c r="I62" s="177"/>
      <c r="J62" s="178"/>
      <c r="K62" s="179"/>
      <c r="L62" s="180"/>
      <c r="M62" s="179"/>
      <c r="N62" s="181" t="s">
        <v>148</v>
      </c>
      <c r="O62" s="182"/>
      <c r="P62" s="12"/>
      <c r="Q62" s="12"/>
      <c r="R62" s="12"/>
      <c r="S62" s="12"/>
      <c r="T62" s="12"/>
      <c r="U62" s="12"/>
      <c r="V62" s="12"/>
      <c r="W62" s="12"/>
      <c r="X62" s="12"/>
      <c r="Y62" s="12"/>
      <c r="Z62" s="12"/>
    </row>
    <row r="63" spans="1:26" ht="12.75" customHeight="1" x14ac:dyDescent="0.15">
      <c r="A63" s="12"/>
      <c r="B63" s="183" t="s">
        <v>172</v>
      </c>
      <c r="C63" s="184"/>
      <c r="D63" s="185"/>
      <c r="E63" s="186">
        <v>0</v>
      </c>
      <c r="F63" s="186">
        <v>-60</v>
      </c>
      <c r="G63" s="186">
        <v>-120</v>
      </c>
      <c r="H63" s="186">
        <v>-175</v>
      </c>
      <c r="I63" s="186">
        <v>-225</v>
      </c>
      <c r="J63" s="187"/>
      <c r="K63" s="144"/>
      <c r="L63" s="145"/>
      <c r="M63" s="144"/>
      <c r="N63" s="188" t="s">
        <v>43</v>
      </c>
      <c r="O63" s="189"/>
      <c r="P63" s="12"/>
      <c r="Q63" s="12"/>
      <c r="R63" s="12"/>
      <c r="S63" s="12"/>
      <c r="T63" s="12"/>
      <c r="U63" s="12"/>
      <c r="V63" s="12"/>
      <c r="W63" s="12"/>
      <c r="X63" s="12"/>
      <c r="Y63" s="12"/>
      <c r="Z63" s="12"/>
    </row>
    <row r="64" spans="1:26" ht="12.75" customHeight="1" x14ac:dyDescent="0.15">
      <c r="A64" s="12"/>
      <c r="B64" s="183" t="s">
        <v>173</v>
      </c>
      <c r="C64" s="184"/>
      <c r="D64" s="185"/>
      <c r="E64" s="186">
        <v>0</v>
      </c>
      <c r="F64" s="186">
        <v>-200</v>
      </c>
      <c r="G64" s="186">
        <v>-300</v>
      </c>
      <c r="H64" s="186">
        <v>-400</v>
      </c>
      <c r="I64" s="186">
        <v>-543</v>
      </c>
      <c r="J64" s="187"/>
      <c r="K64" s="144"/>
      <c r="L64" s="145"/>
      <c r="M64" s="144"/>
      <c r="N64" s="188" t="s">
        <v>43</v>
      </c>
      <c r="O64" s="189"/>
      <c r="P64" s="12"/>
      <c r="Q64" s="12"/>
      <c r="R64" s="12"/>
      <c r="S64" s="12"/>
      <c r="T64" s="12"/>
      <c r="U64" s="12"/>
      <c r="V64" s="12"/>
      <c r="W64" s="12"/>
      <c r="X64" s="12"/>
      <c r="Y64" s="12"/>
      <c r="Z64" s="12"/>
    </row>
    <row r="65" spans="1:26" ht="12.75" customHeight="1" x14ac:dyDescent="0.15">
      <c r="A65" s="12"/>
      <c r="B65" s="184" t="s">
        <v>174</v>
      </c>
      <c r="C65" s="184"/>
      <c r="D65" s="185"/>
      <c r="E65" s="186">
        <v>9.4</v>
      </c>
      <c r="F65" s="190">
        <v>12.4</v>
      </c>
      <c r="G65" s="190">
        <v>13</v>
      </c>
      <c r="H65" s="190">
        <v>14</v>
      </c>
      <c r="I65" s="190">
        <v>15</v>
      </c>
      <c r="J65" s="187"/>
      <c r="K65" s="144"/>
      <c r="L65" s="145"/>
      <c r="M65" s="144"/>
      <c r="N65" s="188" t="s">
        <v>41</v>
      </c>
      <c r="O65" s="189"/>
      <c r="P65" s="12"/>
      <c r="Q65" s="12"/>
      <c r="R65" s="12"/>
      <c r="S65" s="12"/>
      <c r="T65" s="12"/>
      <c r="U65" s="12"/>
      <c r="V65" s="12"/>
      <c r="W65" s="12"/>
      <c r="X65" s="12"/>
      <c r="Y65" s="12"/>
      <c r="Z65" s="12"/>
    </row>
    <row r="66" spans="1:26" ht="12.75" customHeight="1" x14ac:dyDescent="0.15">
      <c r="A66" s="12"/>
      <c r="B66" s="183" t="s">
        <v>175</v>
      </c>
      <c r="C66" s="184"/>
      <c r="D66" s="185"/>
      <c r="E66" s="186">
        <v>0</v>
      </c>
      <c r="F66" s="190">
        <v>-200</v>
      </c>
      <c r="G66" s="190">
        <f t="shared" ref="G66:I66" si="27">F66*1.05</f>
        <v>-210</v>
      </c>
      <c r="H66" s="190">
        <f t="shared" si="27"/>
        <v>-220.5</v>
      </c>
      <c r="I66" s="190">
        <f t="shared" si="27"/>
        <v>-231.52500000000001</v>
      </c>
      <c r="J66" s="187"/>
      <c r="K66" s="144"/>
      <c r="L66" s="145"/>
      <c r="M66" s="144"/>
      <c r="N66" s="188" t="s">
        <v>41</v>
      </c>
      <c r="O66" s="189"/>
      <c r="P66" s="12"/>
      <c r="Q66" s="12"/>
      <c r="R66" s="12"/>
      <c r="S66" s="12"/>
      <c r="T66" s="12"/>
      <c r="U66" s="12"/>
      <c r="V66" s="12"/>
      <c r="W66" s="12"/>
      <c r="X66" s="12"/>
      <c r="Y66" s="12"/>
      <c r="Z66" s="12"/>
    </row>
    <row r="67" spans="1:26" ht="12.75" customHeight="1" x14ac:dyDescent="0.15">
      <c r="A67" s="12"/>
      <c r="B67" s="183" t="s">
        <v>176</v>
      </c>
      <c r="C67" s="184"/>
      <c r="D67" s="185"/>
      <c r="E67" s="186">
        <v>0</v>
      </c>
      <c r="F67" s="186">
        <v>-17.2</v>
      </c>
      <c r="G67" s="190">
        <f t="shared" ref="G67:I67" si="28">F67*1.05</f>
        <v>-18.059999999999999</v>
      </c>
      <c r="H67" s="190">
        <f t="shared" si="28"/>
        <v>-18.963000000000001</v>
      </c>
      <c r="I67" s="190">
        <f t="shared" si="28"/>
        <v>-19.911150000000003</v>
      </c>
      <c r="J67" s="187"/>
      <c r="K67" s="144"/>
      <c r="L67" s="145"/>
      <c r="M67" s="144"/>
      <c r="N67" s="188" t="s">
        <v>41</v>
      </c>
      <c r="O67" s="189"/>
      <c r="P67" s="12"/>
      <c r="Q67" s="12"/>
      <c r="R67" s="12"/>
      <c r="S67" s="12"/>
      <c r="T67" s="12"/>
      <c r="U67" s="12"/>
      <c r="V67" s="12"/>
      <c r="W67" s="12"/>
      <c r="X67" s="12"/>
      <c r="Y67" s="12"/>
      <c r="Z67" s="12"/>
    </row>
    <row r="68" spans="1:26" ht="14" x14ac:dyDescent="0.15">
      <c r="A68" s="12"/>
      <c r="B68" s="184" t="s">
        <v>177</v>
      </c>
      <c r="C68" s="184"/>
      <c r="D68" s="185"/>
      <c r="E68" s="186">
        <v>0</v>
      </c>
      <c r="F68" s="186">
        <v>170</v>
      </c>
      <c r="G68" s="190">
        <f t="shared" ref="G68:I68" si="29">F68*1.025</f>
        <v>174.24999999999997</v>
      </c>
      <c r="H68" s="190">
        <f t="shared" si="29"/>
        <v>178.60624999999996</v>
      </c>
      <c r="I68" s="190">
        <f t="shared" si="29"/>
        <v>183.07140624999994</v>
      </c>
      <c r="J68" s="187"/>
      <c r="K68" s="144"/>
      <c r="L68" s="145"/>
      <c r="M68" s="144"/>
      <c r="N68" s="188" t="s">
        <v>41</v>
      </c>
      <c r="O68" s="189"/>
      <c r="P68" s="12"/>
      <c r="Q68" s="12"/>
      <c r="R68" s="12"/>
      <c r="S68" s="12"/>
      <c r="T68" s="12"/>
      <c r="U68" s="12"/>
      <c r="V68" s="12"/>
      <c r="W68" s="12"/>
      <c r="X68" s="12"/>
      <c r="Y68" s="12"/>
      <c r="Z68" s="12"/>
    </row>
    <row r="69" spans="1:26" ht="15.75" customHeight="1" x14ac:dyDescent="0.15">
      <c r="A69" s="12"/>
      <c r="B69" s="183" t="s">
        <v>178</v>
      </c>
      <c r="C69" s="184"/>
      <c r="D69" s="185"/>
      <c r="E69" s="186">
        <v>0</v>
      </c>
      <c r="F69" s="186">
        <v>-50</v>
      </c>
      <c r="G69" s="190">
        <f t="shared" ref="G69:I69" si="30">F69*1.025</f>
        <v>-51.249999999999993</v>
      </c>
      <c r="H69" s="190">
        <f t="shared" si="30"/>
        <v>-52.531249999999986</v>
      </c>
      <c r="I69" s="190">
        <f t="shared" si="30"/>
        <v>-53.844531249999982</v>
      </c>
      <c r="J69" s="187"/>
      <c r="K69" s="144"/>
      <c r="L69" s="145"/>
      <c r="M69" s="144"/>
      <c r="N69" s="188" t="s">
        <v>42</v>
      </c>
      <c r="O69" s="189"/>
      <c r="P69" s="12"/>
      <c r="Q69" s="12"/>
      <c r="R69" s="12"/>
      <c r="S69" s="12"/>
      <c r="T69" s="12"/>
      <c r="U69" s="12"/>
      <c r="V69" s="12"/>
      <c r="W69" s="12"/>
      <c r="X69" s="12"/>
      <c r="Y69" s="12"/>
      <c r="Z69" s="12"/>
    </row>
    <row r="70" spans="1:26" ht="24" x14ac:dyDescent="0.15">
      <c r="A70" s="12"/>
      <c r="B70" s="183" t="s">
        <v>179</v>
      </c>
      <c r="C70" s="184"/>
      <c r="D70" s="185"/>
      <c r="E70" s="186">
        <v>0</v>
      </c>
      <c r="F70" s="186">
        <v>-800</v>
      </c>
      <c r="G70" s="186">
        <f t="shared" ref="G70:I70" si="31">F70*1.05</f>
        <v>-840</v>
      </c>
      <c r="H70" s="186">
        <f t="shared" si="31"/>
        <v>-882</v>
      </c>
      <c r="I70" s="186">
        <f t="shared" si="31"/>
        <v>-926.1</v>
      </c>
      <c r="J70" s="187"/>
      <c r="K70" s="144"/>
      <c r="L70" s="145"/>
      <c r="M70" s="144"/>
      <c r="N70" s="188" t="s">
        <v>46</v>
      </c>
      <c r="O70" s="189"/>
      <c r="P70" s="12"/>
      <c r="Q70" s="12"/>
      <c r="R70" s="12"/>
      <c r="S70" s="12"/>
      <c r="T70" s="12"/>
      <c r="U70" s="12"/>
      <c r="V70" s="12"/>
      <c r="W70" s="12"/>
      <c r="X70" s="12"/>
      <c r="Y70" s="12"/>
      <c r="Z70" s="12"/>
    </row>
    <row r="71" spans="1:26" ht="12.75" customHeight="1" x14ac:dyDescent="0.15">
      <c r="A71" s="12"/>
      <c r="B71" s="183" t="s">
        <v>180</v>
      </c>
      <c r="C71" s="184"/>
      <c r="D71" s="185"/>
      <c r="E71" s="186">
        <v>0</v>
      </c>
      <c r="F71" s="186">
        <v>-60</v>
      </c>
      <c r="G71" s="186">
        <f t="shared" ref="G71:I71" si="32">F71*1.025</f>
        <v>-61.499999999999993</v>
      </c>
      <c r="H71" s="186">
        <f t="shared" si="32"/>
        <v>-63.037499999999987</v>
      </c>
      <c r="I71" s="186">
        <f t="shared" si="32"/>
        <v>-64.613437499999975</v>
      </c>
      <c r="J71" s="187"/>
      <c r="K71" s="144"/>
      <c r="L71" s="145"/>
      <c r="M71" s="144"/>
      <c r="N71" s="188" t="s">
        <v>150</v>
      </c>
      <c r="O71" s="12"/>
      <c r="P71" s="12"/>
      <c r="Q71" s="12"/>
      <c r="R71" s="12"/>
      <c r="S71" s="12"/>
      <c r="T71" s="12"/>
      <c r="U71" s="12"/>
      <c r="V71" s="12"/>
      <c r="W71" s="12"/>
      <c r="X71" s="12"/>
      <c r="Y71" s="12"/>
      <c r="Z71" s="12"/>
    </row>
    <row r="72" spans="1:26" ht="12.75" customHeight="1" x14ac:dyDescent="0.15">
      <c r="A72" s="12"/>
      <c r="B72" s="183" t="s">
        <v>181</v>
      </c>
      <c r="C72" s="184"/>
      <c r="D72" s="185"/>
      <c r="E72" s="186">
        <v>0</v>
      </c>
      <c r="F72" s="186">
        <v>-200</v>
      </c>
      <c r="G72" s="186">
        <f t="shared" ref="G72:I72" si="33">F72*1.05</f>
        <v>-210</v>
      </c>
      <c r="H72" s="186">
        <f t="shared" si="33"/>
        <v>-220.5</v>
      </c>
      <c r="I72" s="186">
        <f t="shared" si="33"/>
        <v>-231.52500000000001</v>
      </c>
      <c r="J72" s="187"/>
      <c r="K72" s="144"/>
      <c r="L72" s="145"/>
      <c r="M72" s="144"/>
      <c r="N72" s="188" t="s">
        <v>40</v>
      </c>
      <c r="O72" s="189"/>
      <c r="P72" s="12"/>
      <c r="Q72" s="12"/>
      <c r="R72" s="12"/>
      <c r="S72" s="12"/>
      <c r="T72" s="12"/>
      <c r="U72" s="12"/>
      <c r="V72" s="12"/>
      <c r="W72" s="12"/>
      <c r="X72" s="12"/>
      <c r="Y72" s="12"/>
      <c r="Z72" s="12"/>
    </row>
    <row r="73" spans="1:26" ht="12.75" customHeight="1" x14ac:dyDescent="0.15">
      <c r="A73" s="12"/>
      <c r="B73" s="184" t="s">
        <v>182</v>
      </c>
      <c r="C73" s="184"/>
      <c r="D73" s="185"/>
      <c r="E73" s="186">
        <v>0</v>
      </c>
      <c r="F73" s="186">
        <v>-28</v>
      </c>
      <c r="G73" s="186">
        <f t="shared" ref="G73:I73" si="34">F73*1.025</f>
        <v>-28.699999999999996</v>
      </c>
      <c r="H73" s="186">
        <f t="shared" si="34"/>
        <v>-29.417499999999993</v>
      </c>
      <c r="I73" s="186">
        <f t="shared" si="34"/>
        <v>-30.15293749999999</v>
      </c>
      <c r="J73" s="187"/>
      <c r="K73" s="144"/>
      <c r="L73" s="145"/>
      <c r="M73" s="144"/>
      <c r="N73" s="188" t="s">
        <v>150</v>
      </c>
      <c r="O73" s="189"/>
      <c r="P73" s="12"/>
      <c r="Q73" s="12"/>
      <c r="R73" s="12"/>
      <c r="S73" s="12"/>
      <c r="T73" s="12"/>
      <c r="U73" s="12"/>
      <c r="V73" s="12"/>
      <c r="W73" s="12"/>
      <c r="X73" s="12"/>
      <c r="Y73" s="12"/>
      <c r="Z73" s="12"/>
    </row>
    <row r="74" spans="1:26" ht="12.75" customHeight="1" x14ac:dyDescent="0.15">
      <c r="A74" s="12"/>
      <c r="B74" s="184" t="s">
        <v>183</v>
      </c>
      <c r="C74" s="184"/>
      <c r="D74" s="185"/>
      <c r="E74" s="186">
        <v>-100</v>
      </c>
      <c r="F74" s="186">
        <v>-50</v>
      </c>
      <c r="G74" s="186">
        <v>0</v>
      </c>
      <c r="H74" s="186">
        <v>0</v>
      </c>
      <c r="I74" s="186">
        <v>0</v>
      </c>
      <c r="J74" s="187"/>
      <c r="K74" s="144"/>
      <c r="L74" s="145"/>
      <c r="M74" s="144"/>
      <c r="N74" s="188" t="s">
        <v>150</v>
      </c>
      <c r="O74" s="189"/>
      <c r="P74" s="12"/>
      <c r="Q74" s="12"/>
      <c r="R74" s="12"/>
      <c r="S74" s="12"/>
      <c r="T74" s="12"/>
      <c r="U74" s="12"/>
      <c r="V74" s="12"/>
      <c r="W74" s="12"/>
      <c r="X74" s="12"/>
      <c r="Y74" s="12"/>
      <c r="Z74" s="12"/>
    </row>
    <row r="75" spans="1:26" ht="12.75" customHeight="1" x14ac:dyDescent="0.15">
      <c r="A75" s="12"/>
      <c r="B75" s="174" t="s">
        <v>184</v>
      </c>
      <c r="C75" s="175"/>
      <c r="D75" s="176"/>
      <c r="E75" s="177"/>
      <c r="F75" s="177"/>
      <c r="G75" s="177"/>
      <c r="H75" s="177"/>
      <c r="I75" s="177"/>
      <c r="J75" s="178"/>
      <c r="K75" s="179"/>
      <c r="L75" s="180"/>
      <c r="M75" s="179"/>
      <c r="N75" s="181" t="s">
        <v>148</v>
      </c>
      <c r="O75" s="12"/>
      <c r="P75" s="12"/>
      <c r="Q75" s="12"/>
      <c r="R75" s="12"/>
      <c r="S75" s="12"/>
      <c r="T75" s="12"/>
      <c r="U75" s="12"/>
      <c r="V75" s="12"/>
      <c r="W75" s="12"/>
      <c r="X75" s="12"/>
      <c r="Y75" s="12"/>
      <c r="Z75" s="12"/>
    </row>
    <row r="76" spans="1:26" ht="12.75" customHeight="1" x14ac:dyDescent="0.15">
      <c r="A76" s="12"/>
      <c r="B76" s="183" t="s">
        <v>185</v>
      </c>
      <c r="C76" s="184"/>
      <c r="D76" s="185"/>
      <c r="E76" s="186">
        <v>0</v>
      </c>
      <c r="F76" s="186">
        <v>-20</v>
      </c>
      <c r="G76" s="186">
        <v>-30</v>
      </c>
      <c r="H76" s="186">
        <v>-40</v>
      </c>
      <c r="I76" s="186">
        <v>-50</v>
      </c>
      <c r="J76" s="187"/>
      <c r="K76" s="144"/>
      <c r="L76" s="145"/>
      <c r="M76" s="144"/>
      <c r="N76" s="188" t="s">
        <v>150</v>
      </c>
      <c r="O76" s="12"/>
      <c r="P76" s="12"/>
      <c r="Q76" s="12"/>
      <c r="R76" s="12"/>
      <c r="S76" s="12"/>
      <c r="T76" s="12"/>
      <c r="U76" s="12"/>
      <c r="V76" s="12"/>
      <c r="W76" s="12"/>
      <c r="X76" s="12"/>
      <c r="Y76" s="12"/>
      <c r="Z76" s="12"/>
    </row>
    <row r="77" spans="1:26" ht="12.75" customHeight="1" x14ac:dyDescent="0.15">
      <c r="A77" s="12"/>
      <c r="B77" s="183" t="s">
        <v>186</v>
      </c>
      <c r="C77" s="184"/>
      <c r="D77" s="185"/>
      <c r="E77" s="186">
        <v>0</v>
      </c>
      <c r="F77" s="186">
        <v>-100</v>
      </c>
      <c r="G77" s="186">
        <f t="shared" ref="G77:I77" si="35">F77*1.025</f>
        <v>-102.49999999999999</v>
      </c>
      <c r="H77" s="186">
        <f t="shared" si="35"/>
        <v>-105.06249999999997</v>
      </c>
      <c r="I77" s="186">
        <f t="shared" si="35"/>
        <v>-107.68906249999996</v>
      </c>
      <c r="J77" s="187"/>
      <c r="K77" s="144"/>
      <c r="L77" s="145"/>
      <c r="M77" s="144"/>
      <c r="N77" s="188" t="s">
        <v>150</v>
      </c>
      <c r="O77" s="189"/>
      <c r="P77" s="12"/>
      <c r="Q77" s="12"/>
      <c r="R77" s="12"/>
      <c r="S77" s="12"/>
      <c r="T77" s="12"/>
      <c r="U77" s="12"/>
      <c r="V77" s="12"/>
      <c r="W77" s="12"/>
      <c r="X77" s="12"/>
      <c r="Y77" s="12"/>
      <c r="Z77" s="12"/>
    </row>
    <row r="78" spans="1:26" ht="12.75" customHeight="1" x14ac:dyDescent="0.15">
      <c r="A78" s="12"/>
      <c r="B78" s="174" t="s">
        <v>187</v>
      </c>
      <c r="C78" s="175"/>
      <c r="D78" s="176"/>
      <c r="E78" s="177"/>
      <c r="F78" s="177"/>
      <c r="G78" s="177"/>
      <c r="H78" s="177"/>
      <c r="I78" s="177"/>
      <c r="J78" s="178"/>
      <c r="K78" s="179"/>
      <c r="L78" s="180"/>
      <c r="M78" s="179"/>
      <c r="N78" s="181" t="s">
        <v>148</v>
      </c>
      <c r="O78" s="12"/>
      <c r="P78" s="12"/>
      <c r="Q78" s="12"/>
      <c r="R78" s="12"/>
      <c r="S78" s="12"/>
      <c r="T78" s="12"/>
      <c r="U78" s="12"/>
      <c r="V78" s="12"/>
      <c r="W78" s="12"/>
      <c r="X78" s="12"/>
      <c r="Y78" s="12"/>
      <c r="Z78" s="12"/>
    </row>
    <row r="79" spans="1:26" ht="24" x14ac:dyDescent="0.15">
      <c r="A79" s="12"/>
      <c r="B79" s="183" t="s">
        <v>188</v>
      </c>
      <c r="C79" s="184"/>
      <c r="D79" s="185"/>
      <c r="E79" s="186"/>
      <c r="F79" s="186">
        <v>-90</v>
      </c>
      <c r="G79" s="186">
        <f t="shared" ref="G79:I79" si="36">F79*1.02</f>
        <v>-91.8</v>
      </c>
      <c r="H79" s="186">
        <f t="shared" si="36"/>
        <v>-93.635999999999996</v>
      </c>
      <c r="I79" s="186">
        <f t="shared" si="36"/>
        <v>-95.508719999999997</v>
      </c>
      <c r="J79" s="187"/>
      <c r="K79" s="144"/>
      <c r="L79" s="145"/>
      <c r="M79" s="144"/>
      <c r="N79" s="188" t="s">
        <v>150</v>
      </c>
      <c r="O79" s="189"/>
      <c r="P79" s="12"/>
      <c r="Q79" s="12"/>
      <c r="R79" s="12"/>
      <c r="S79" s="12"/>
      <c r="T79" s="12"/>
      <c r="U79" s="12"/>
      <c r="V79" s="12"/>
      <c r="W79" s="12"/>
      <c r="X79" s="12"/>
      <c r="Y79" s="12"/>
      <c r="Z79" s="12"/>
    </row>
    <row r="80" spans="1:26" ht="12.75" customHeight="1" x14ac:dyDescent="0.15">
      <c r="A80" s="12"/>
      <c r="B80" s="183" t="s">
        <v>189</v>
      </c>
      <c r="C80" s="184"/>
      <c r="D80" s="185"/>
      <c r="E80" s="186">
        <v>0</v>
      </c>
      <c r="F80" s="186">
        <v>-67.8</v>
      </c>
      <c r="G80" s="186">
        <f t="shared" ref="G80:I80" si="37">F80*1.025</f>
        <v>-69.49499999999999</v>
      </c>
      <c r="H80" s="186">
        <f t="shared" si="37"/>
        <v>-71.23237499999999</v>
      </c>
      <c r="I80" s="186">
        <f t="shared" si="37"/>
        <v>-73.01318437499998</v>
      </c>
      <c r="J80" s="187"/>
      <c r="K80" s="144"/>
      <c r="L80" s="145"/>
      <c r="M80" s="144"/>
      <c r="N80" s="188" t="s">
        <v>150</v>
      </c>
      <c r="O80" s="189"/>
      <c r="P80" s="12"/>
      <c r="Q80" s="12"/>
      <c r="R80" s="12"/>
      <c r="S80" s="12"/>
      <c r="T80" s="12"/>
      <c r="U80" s="12"/>
      <c r="V80" s="12"/>
      <c r="W80" s="12"/>
      <c r="X80" s="12"/>
      <c r="Y80" s="12"/>
      <c r="Z80" s="12"/>
    </row>
    <row r="81" spans="1:26" ht="12.75" customHeight="1" x14ac:dyDescent="0.15">
      <c r="A81" s="12"/>
      <c r="B81" s="183" t="s">
        <v>190</v>
      </c>
      <c r="C81" s="184"/>
      <c r="D81" s="185"/>
      <c r="E81" s="186">
        <v>0</v>
      </c>
      <c r="F81" s="186">
        <v>-12</v>
      </c>
      <c r="G81" s="186">
        <v>-14</v>
      </c>
      <c r="H81" s="186">
        <v>-15</v>
      </c>
      <c r="I81" s="186">
        <v>-16</v>
      </c>
      <c r="J81" s="187"/>
      <c r="K81" s="144"/>
      <c r="L81" s="145"/>
      <c r="M81" s="144"/>
      <c r="N81" s="188" t="s">
        <v>150</v>
      </c>
      <c r="O81" s="189"/>
      <c r="P81" s="12"/>
      <c r="Q81" s="12"/>
      <c r="R81" s="12"/>
      <c r="S81" s="12"/>
      <c r="T81" s="12"/>
      <c r="U81" s="12"/>
      <c r="V81" s="12"/>
      <c r="W81" s="12"/>
      <c r="X81" s="12"/>
      <c r="Y81" s="12"/>
      <c r="Z81" s="12"/>
    </row>
    <row r="82" spans="1:26" ht="12.75" customHeight="1" x14ac:dyDescent="0.15">
      <c r="A82" s="12"/>
      <c r="B82" s="183" t="s">
        <v>191</v>
      </c>
      <c r="C82" s="184"/>
      <c r="D82" s="185"/>
      <c r="E82" s="186">
        <v>0</v>
      </c>
      <c r="F82" s="186">
        <v>-15</v>
      </c>
      <c r="G82" s="186">
        <v>-17</v>
      </c>
      <c r="H82" s="186">
        <v>-18</v>
      </c>
      <c r="I82" s="186">
        <v>-20</v>
      </c>
      <c r="J82" s="187"/>
      <c r="K82" s="144"/>
      <c r="L82" s="145"/>
      <c r="M82" s="144"/>
      <c r="N82" s="188" t="s">
        <v>150</v>
      </c>
      <c r="O82" s="189"/>
      <c r="P82" s="12"/>
      <c r="Q82" s="12"/>
      <c r="R82" s="12"/>
      <c r="S82" s="12"/>
      <c r="T82" s="12"/>
      <c r="U82" s="12"/>
      <c r="V82" s="12"/>
      <c r="W82" s="12"/>
      <c r="X82" s="12"/>
      <c r="Y82" s="12"/>
      <c r="Z82" s="12"/>
    </row>
    <row r="83" spans="1:26" ht="12.75" customHeight="1" x14ac:dyDescent="0.15">
      <c r="A83" s="12"/>
      <c r="B83" s="174" t="s">
        <v>128</v>
      </c>
      <c r="C83" s="175"/>
      <c r="D83" s="176"/>
      <c r="E83" s="177"/>
      <c r="F83" s="177"/>
      <c r="G83" s="177"/>
      <c r="H83" s="177"/>
      <c r="I83" s="177"/>
      <c r="J83" s="178"/>
      <c r="K83" s="179"/>
      <c r="L83" s="180"/>
      <c r="M83" s="179"/>
      <c r="N83" s="181" t="s">
        <v>148</v>
      </c>
      <c r="O83" s="189"/>
      <c r="P83" s="12"/>
      <c r="Q83" s="12"/>
      <c r="R83" s="12"/>
      <c r="S83" s="12"/>
      <c r="T83" s="12"/>
      <c r="U83" s="12"/>
      <c r="V83" s="12"/>
      <c r="W83" s="12"/>
      <c r="X83" s="12"/>
      <c r="Y83" s="12"/>
      <c r="Z83" s="12"/>
    </row>
    <row r="84" spans="1:26" ht="12.75" customHeight="1" x14ac:dyDescent="0.15">
      <c r="A84" s="12"/>
      <c r="B84" s="183" t="s">
        <v>192</v>
      </c>
      <c r="C84" s="184"/>
      <c r="D84" s="185"/>
      <c r="E84" s="186">
        <v>0</v>
      </c>
      <c r="F84" s="186">
        <f>-39.9*1.025</f>
        <v>-40.897499999999994</v>
      </c>
      <c r="G84" s="186">
        <f t="shared" ref="G84:I84" si="38">F84*1.025</f>
        <v>-41.919937499999989</v>
      </c>
      <c r="H84" s="186">
        <f t="shared" si="38"/>
        <v>-42.967935937499988</v>
      </c>
      <c r="I84" s="186">
        <f t="shared" si="38"/>
        <v>-44.042134335937483</v>
      </c>
      <c r="J84" s="187"/>
      <c r="K84" s="144"/>
      <c r="L84" s="145"/>
      <c r="M84" s="144"/>
      <c r="N84" s="188" t="s">
        <v>150</v>
      </c>
      <c r="O84" s="189"/>
      <c r="P84" s="12"/>
      <c r="Q84" s="12"/>
      <c r="R84" s="12"/>
      <c r="S84" s="12"/>
      <c r="T84" s="12"/>
      <c r="U84" s="12"/>
      <c r="V84" s="12"/>
      <c r="W84" s="12"/>
      <c r="X84" s="12"/>
      <c r="Y84" s="12"/>
      <c r="Z84" s="12"/>
    </row>
    <row r="85" spans="1:26" ht="12.75" customHeight="1" x14ac:dyDescent="0.15">
      <c r="A85" s="12"/>
      <c r="B85" s="191" t="s">
        <v>193</v>
      </c>
      <c r="C85" s="175"/>
      <c r="D85" s="176"/>
      <c r="E85" s="177">
        <v>0</v>
      </c>
      <c r="F85" s="177">
        <v>-100</v>
      </c>
      <c r="G85" s="177">
        <f t="shared" ref="G85" si="39">F85*1.025</f>
        <v>-102.49999999999999</v>
      </c>
      <c r="H85" s="177"/>
      <c r="I85" s="177"/>
      <c r="J85" s="178"/>
      <c r="K85" s="179"/>
      <c r="L85" s="180"/>
      <c r="M85" s="179"/>
      <c r="N85" s="181" t="s">
        <v>41</v>
      </c>
      <c r="O85" s="189"/>
      <c r="P85" s="12"/>
      <c r="Q85" s="12"/>
      <c r="R85" s="12"/>
      <c r="S85" s="12"/>
      <c r="T85" s="12"/>
      <c r="U85" s="12"/>
      <c r="V85" s="12"/>
      <c r="W85" s="12"/>
      <c r="X85" s="12"/>
      <c r="Y85" s="12"/>
      <c r="Z85" s="12"/>
    </row>
    <row r="86" spans="1:26" ht="3.75" customHeight="1" x14ac:dyDescent="0.15">
      <c r="A86" s="12"/>
      <c r="B86" s="184"/>
      <c r="C86" s="184"/>
      <c r="D86" s="185"/>
      <c r="E86" s="186"/>
      <c r="F86" s="186"/>
      <c r="G86" s="186"/>
      <c r="H86" s="186"/>
      <c r="I86" s="186"/>
      <c r="J86" s="187"/>
      <c r="K86" s="144"/>
      <c r="L86" s="145"/>
      <c r="M86" s="144"/>
      <c r="N86" s="192"/>
      <c r="O86" s="189"/>
      <c r="P86" s="12"/>
      <c r="Q86" s="12"/>
      <c r="R86" s="12"/>
      <c r="S86" s="12"/>
      <c r="T86" s="12"/>
      <c r="U86" s="12"/>
      <c r="V86" s="12"/>
      <c r="W86" s="12"/>
      <c r="X86" s="12"/>
      <c r="Y86" s="12"/>
      <c r="Z86" s="12"/>
    </row>
    <row r="87" spans="1:26" ht="12.75" customHeight="1" x14ac:dyDescent="0.15">
      <c r="A87" s="12"/>
      <c r="B87" s="193" t="s">
        <v>143</v>
      </c>
      <c r="C87" s="193"/>
      <c r="D87" s="194"/>
      <c r="E87" s="195">
        <f t="shared" ref="E87:I87" si="40">SUM(E36:E86)</f>
        <v>-6730.6</v>
      </c>
      <c r="F87" s="195">
        <f t="shared" si="40"/>
        <v>-4891.4974999999995</v>
      </c>
      <c r="G87" s="195">
        <f t="shared" si="40"/>
        <v>-5393.7499374999989</v>
      </c>
      <c r="H87" s="195">
        <f t="shared" si="40"/>
        <v>-5838.5111859374992</v>
      </c>
      <c r="I87" s="195">
        <f t="shared" si="40"/>
        <v>-6839.1149387109344</v>
      </c>
      <c r="J87" s="169"/>
      <c r="K87" s="144"/>
      <c r="L87" s="145"/>
      <c r="M87" s="144"/>
      <c r="N87" s="146"/>
      <c r="O87" s="146"/>
      <c r="P87" s="12"/>
      <c r="Q87" s="12"/>
      <c r="R87" s="12"/>
      <c r="S87" s="12"/>
      <c r="T87" s="12"/>
      <c r="U87" s="12"/>
      <c r="V87" s="12"/>
      <c r="W87" s="12"/>
      <c r="X87" s="12"/>
      <c r="Y87" s="12"/>
      <c r="Z87" s="12"/>
    </row>
    <row r="88" spans="1:26" ht="7.5" customHeight="1" x14ac:dyDescent="0.15">
      <c r="A88" s="12"/>
      <c r="B88" s="144"/>
      <c r="C88" s="144"/>
      <c r="D88" s="144"/>
      <c r="E88" s="171"/>
      <c r="F88" s="171"/>
      <c r="G88" s="171"/>
      <c r="H88" s="171"/>
      <c r="I88" s="171"/>
      <c r="J88" s="144"/>
      <c r="K88" s="144"/>
      <c r="L88" s="145"/>
      <c r="M88" s="144"/>
      <c r="N88" s="146"/>
      <c r="O88" s="146"/>
      <c r="P88" s="12"/>
      <c r="Q88" s="12"/>
      <c r="R88" s="12"/>
      <c r="S88" s="12"/>
      <c r="T88" s="12"/>
      <c r="U88" s="12"/>
      <c r="V88" s="12"/>
      <c r="W88" s="12"/>
      <c r="X88" s="12"/>
      <c r="Y88" s="12"/>
      <c r="Z88" s="12"/>
    </row>
    <row r="89" spans="1:26" ht="12.75" customHeight="1" x14ac:dyDescent="0.15">
      <c r="A89" s="12"/>
      <c r="B89" s="139"/>
      <c r="C89" s="139"/>
      <c r="D89" s="102"/>
      <c r="E89" s="102" t="s">
        <v>20</v>
      </c>
      <c r="F89" s="102" t="s">
        <v>21</v>
      </c>
      <c r="G89" s="102" t="s">
        <v>22</v>
      </c>
      <c r="H89" s="102" t="s">
        <v>23</v>
      </c>
      <c r="I89" s="102" t="s">
        <v>24</v>
      </c>
      <c r="J89" s="102"/>
      <c r="K89" s="12"/>
      <c r="L89" s="138"/>
      <c r="M89" s="12"/>
      <c r="N89" s="140" t="s">
        <v>194</v>
      </c>
      <c r="O89" s="140" t="s">
        <v>195</v>
      </c>
      <c r="P89" s="12"/>
      <c r="Q89" s="12"/>
      <c r="R89" s="12"/>
      <c r="S89" s="12"/>
      <c r="T89" s="12"/>
      <c r="U89" s="12"/>
      <c r="V89" s="12"/>
      <c r="W89" s="12"/>
      <c r="X89" s="12"/>
      <c r="Y89" s="12"/>
      <c r="Z89" s="12"/>
    </row>
    <row r="90" spans="1:26" ht="12.75" customHeight="1" x14ac:dyDescent="0.15">
      <c r="A90" s="12"/>
      <c r="B90" s="196" t="s">
        <v>196</v>
      </c>
      <c r="C90" s="197"/>
      <c r="D90" s="198"/>
      <c r="E90" s="199"/>
      <c r="F90" s="199"/>
      <c r="G90" s="199"/>
      <c r="H90" s="199"/>
      <c r="I90" s="199"/>
      <c r="J90" s="198"/>
      <c r="K90" s="144"/>
      <c r="L90" s="145"/>
      <c r="M90" s="144"/>
      <c r="N90" s="146"/>
      <c r="O90" s="146"/>
      <c r="P90" s="12"/>
      <c r="Q90" s="12"/>
      <c r="R90" s="12"/>
      <c r="S90" s="12"/>
      <c r="T90" s="12"/>
      <c r="U90" s="12"/>
      <c r="V90" s="12"/>
      <c r="W90" s="12"/>
      <c r="X90" s="12"/>
      <c r="Y90" s="12"/>
      <c r="Z90" s="12"/>
    </row>
    <row r="91" spans="1:26" ht="12.75" customHeight="1" x14ac:dyDescent="0.15">
      <c r="A91" s="12"/>
      <c r="B91" s="200" t="s">
        <v>197</v>
      </c>
      <c r="C91" s="200"/>
      <c r="D91" s="201"/>
      <c r="E91" s="202">
        <v>2000</v>
      </c>
      <c r="F91" s="202">
        <v>2000</v>
      </c>
      <c r="G91" s="202">
        <v>2000</v>
      </c>
      <c r="H91" s="202">
        <v>2000</v>
      </c>
      <c r="I91" s="202">
        <v>2000</v>
      </c>
      <c r="J91" s="198"/>
      <c r="K91" s="144"/>
      <c r="L91" s="145"/>
      <c r="M91" s="144"/>
      <c r="N91" s="203" t="s">
        <v>54</v>
      </c>
      <c r="O91" s="170"/>
      <c r="P91" s="12"/>
      <c r="Q91" s="12"/>
      <c r="R91" s="12"/>
      <c r="S91" s="12"/>
      <c r="T91" s="12"/>
      <c r="U91" s="12"/>
      <c r="V91" s="12"/>
      <c r="W91" s="12"/>
      <c r="X91" s="12"/>
      <c r="Y91" s="12"/>
      <c r="Z91" s="12"/>
    </row>
    <row r="92" spans="1:26" ht="12.75" customHeight="1" x14ac:dyDescent="0.15">
      <c r="A92" s="12"/>
      <c r="B92" s="200" t="s">
        <v>198</v>
      </c>
      <c r="C92" s="200"/>
      <c r="D92" s="201"/>
      <c r="E92" s="202">
        <v>0</v>
      </c>
      <c r="F92" s="202">
        <f t="shared" ref="F92:I92" si="41">-SUM(F59,F61)</f>
        <v>2475</v>
      </c>
      <c r="G92" s="202">
        <f t="shared" si="41"/>
        <v>2536.8749999999995</v>
      </c>
      <c r="H92" s="202">
        <f t="shared" si="41"/>
        <v>2600.2968749999991</v>
      </c>
      <c r="I92" s="202">
        <f t="shared" si="41"/>
        <v>2665.3042968749987</v>
      </c>
      <c r="J92" s="198"/>
      <c r="K92" s="144"/>
      <c r="L92" s="145"/>
      <c r="M92" s="144"/>
      <c r="N92" s="203" t="s">
        <v>57</v>
      </c>
      <c r="O92" s="146"/>
      <c r="P92" s="12"/>
      <c r="Q92" s="12"/>
      <c r="R92" s="12"/>
      <c r="S92" s="12"/>
      <c r="T92" s="12"/>
      <c r="U92" s="12"/>
      <c r="V92" s="12"/>
      <c r="W92" s="12"/>
      <c r="X92" s="12"/>
      <c r="Y92" s="12"/>
      <c r="Z92" s="12"/>
    </row>
    <row r="93" spans="1:26" ht="3.75" customHeight="1" x14ac:dyDescent="0.15">
      <c r="A93" s="12"/>
      <c r="B93" s="200"/>
      <c r="C93" s="200"/>
      <c r="D93" s="201"/>
      <c r="E93" s="202"/>
      <c r="F93" s="202"/>
      <c r="G93" s="202"/>
      <c r="H93" s="202"/>
      <c r="I93" s="202"/>
      <c r="J93" s="198"/>
      <c r="K93" s="144"/>
      <c r="L93" s="145"/>
      <c r="M93" s="144"/>
      <c r="N93" s="146"/>
      <c r="O93" s="146"/>
      <c r="P93" s="12"/>
      <c r="Q93" s="12"/>
      <c r="R93" s="12"/>
      <c r="S93" s="12"/>
      <c r="T93" s="12"/>
      <c r="U93" s="12"/>
      <c r="V93" s="12"/>
      <c r="W93" s="12"/>
      <c r="X93" s="12"/>
      <c r="Y93" s="12"/>
      <c r="Z93" s="12"/>
    </row>
    <row r="94" spans="1:26" ht="12.75" customHeight="1" x14ac:dyDescent="0.15">
      <c r="A94" s="12"/>
      <c r="B94" s="204" t="s">
        <v>143</v>
      </c>
      <c r="C94" s="200"/>
      <c r="D94" s="201"/>
      <c r="E94" s="205">
        <f t="shared" ref="E94:I94" si="42">SUM(E91:E92)</f>
        <v>2000</v>
      </c>
      <c r="F94" s="205">
        <f t="shared" si="42"/>
        <v>4475</v>
      </c>
      <c r="G94" s="205">
        <f t="shared" si="42"/>
        <v>4536.875</v>
      </c>
      <c r="H94" s="205">
        <f t="shared" si="42"/>
        <v>4600.2968749999991</v>
      </c>
      <c r="I94" s="205">
        <f t="shared" si="42"/>
        <v>4665.3042968749987</v>
      </c>
      <c r="J94" s="198"/>
      <c r="K94" s="144"/>
      <c r="L94" s="145"/>
      <c r="M94" s="144"/>
      <c r="N94" s="146"/>
      <c r="O94" s="146"/>
      <c r="P94" s="12"/>
      <c r="Q94" s="12"/>
      <c r="R94" s="12"/>
      <c r="S94" s="12"/>
      <c r="T94" s="12"/>
      <c r="U94" s="12"/>
      <c r="V94" s="12"/>
      <c r="W94" s="12"/>
      <c r="X94" s="12"/>
      <c r="Y94" s="12"/>
      <c r="Z94" s="12"/>
    </row>
    <row r="95" spans="1:26" ht="7.5" customHeight="1" x14ac:dyDescent="0.15">
      <c r="A95" s="12"/>
      <c r="B95" s="204"/>
      <c r="C95" s="200"/>
      <c r="D95" s="201"/>
      <c r="E95" s="206"/>
      <c r="F95" s="206"/>
      <c r="G95" s="206"/>
      <c r="H95" s="206"/>
      <c r="I95" s="206"/>
      <c r="J95" s="198"/>
      <c r="K95" s="144"/>
      <c r="L95" s="145"/>
      <c r="M95" s="144"/>
      <c r="N95" s="146"/>
      <c r="O95" s="146"/>
      <c r="P95" s="12"/>
      <c r="Q95" s="12"/>
      <c r="R95" s="12"/>
      <c r="S95" s="12"/>
      <c r="T95" s="12"/>
      <c r="U95" s="12"/>
      <c r="V95" s="12"/>
      <c r="W95" s="12"/>
      <c r="X95" s="12"/>
      <c r="Y95" s="12"/>
      <c r="Z95" s="12"/>
    </row>
    <row r="96" spans="1:26" ht="12.75" customHeight="1" x14ac:dyDescent="0.15">
      <c r="A96" s="12"/>
      <c r="B96" s="197" t="s">
        <v>199</v>
      </c>
      <c r="C96" s="200"/>
      <c r="D96" s="201"/>
      <c r="E96" s="202"/>
      <c r="F96" s="202"/>
      <c r="G96" s="202"/>
      <c r="H96" s="202"/>
      <c r="I96" s="202"/>
      <c r="J96" s="198"/>
      <c r="K96" s="144"/>
      <c r="L96" s="145"/>
      <c r="M96" s="144"/>
      <c r="N96" s="146"/>
      <c r="O96" s="146"/>
      <c r="P96" s="12"/>
      <c r="Q96" s="12"/>
      <c r="R96" s="12"/>
      <c r="S96" s="12"/>
      <c r="T96" s="12"/>
      <c r="U96" s="12"/>
      <c r="V96" s="12"/>
      <c r="W96" s="12"/>
      <c r="X96" s="12"/>
      <c r="Y96" s="12"/>
      <c r="Z96" s="12"/>
    </row>
    <row r="97" spans="1:26" ht="15.75" customHeight="1" x14ac:dyDescent="0.15">
      <c r="A97" s="12"/>
      <c r="B97" s="200" t="s">
        <v>200</v>
      </c>
      <c r="C97" s="200"/>
      <c r="D97" s="201"/>
      <c r="E97" s="207">
        <v>0</v>
      </c>
      <c r="F97" s="202">
        <f>-575-500</f>
        <v>-1075</v>
      </c>
      <c r="G97" s="202">
        <f>-575-1000</f>
        <v>-1575</v>
      </c>
      <c r="H97" s="202">
        <f>-575-1500</f>
        <v>-2075</v>
      </c>
      <c r="I97" s="202">
        <f>-575-2000</f>
        <v>-2575</v>
      </c>
      <c r="J97" s="198"/>
      <c r="K97" s="144"/>
      <c r="L97" s="145"/>
      <c r="M97" s="144"/>
      <c r="N97" s="208" t="s">
        <v>201</v>
      </c>
      <c r="O97" s="170"/>
      <c r="P97" s="12"/>
      <c r="Q97" s="12"/>
      <c r="R97" s="12"/>
      <c r="S97" s="12"/>
      <c r="T97" s="12"/>
      <c r="U97" s="12"/>
      <c r="V97" s="12"/>
      <c r="W97" s="12"/>
      <c r="X97" s="12"/>
      <c r="Y97" s="12"/>
      <c r="Z97" s="12"/>
    </row>
    <row r="98" spans="1:26" ht="12.75" customHeight="1" x14ac:dyDescent="0.15">
      <c r="A98" s="12"/>
      <c r="B98" s="200" t="s">
        <v>202</v>
      </c>
      <c r="C98" s="200"/>
      <c r="D98" s="201"/>
      <c r="E98" s="202">
        <v>0</v>
      </c>
      <c r="F98" s="202">
        <v>0</v>
      </c>
      <c r="G98" s="202">
        <v>0</v>
      </c>
      <c r="H98" s="202">
        <v>0</v>
      </c>
      <c r="I98" s="202">
        <v>0</v>
      </c>
      <c r="J98" s="198"/>
      <c r="K98" s="144"/>
      <c r="L98" s="145"/>
      <c r="M98" s="144"/>
      <c r="N98" s="208" t="s">
        <v>203</v>
      </c>
      <c r="O98" s="146"/>
      <c r="P98" s="12"/>
      <c r="Q98" s="12"/>
      <c r="R98" s="12"/>
      <c r="S98" s="12"/>
      <c r="T98" s="12"/>
      <c r="U98" s="12"/>
      <c r="V98" s="12"/>
      <c r="W98" s="12"/>
      <c r="X98" s="12"/>
      <c r="Y98" s="12"/>
      <c r="Z98" s="12"/>
    </row>
    <row r="99" spans="1:26" ht="3.75" customHeight="1" x14ac:dyDescent="0.15">
      <c r="A99" s="12"/>
      <c r="B99" s="200"/>
      <c r="C99" s="200"/>
      <c r="D99" s="201"/>
      <c r="E99" s="202"/>
      <c r="F99" s="202"/>
      <c r="G99" s="202"/>
      <c r="H99" s="202"/>
      <c r="I99" s="202"/>
      <c r="J99" s="198"/>
      <c r="K99" s="144"/>
      <c r="L99" s="145"/>
      <c r="M99" s="144"/>
      <c r="N99" s="146"/>
      <c r="O99" s="146"/>
      <c r="P99" s="12"/>
      <c r="Q99" s="12"/>
      <c r="R99" s="12"/>
      <c r="S99" s="12"/>
      <c r="T99" s="12"/>
      <c r="U99" s="12"/>
      <c r="V99" s="12"/>
      <c r="W99" s="12"/>
      <c r="X99" s="12"/>
      <c r="Y99" s="12"/>
      <c r="Z99" s="12"/>
    </row>
    <row r="100" spans="1:26" ht="12.75" customHeight="1" x14ac:dyDescent="0.15">
      <c r="A100" s="12"/>
      <c r="B100" s="204" t="s">
        <v>143</v>
      </c>
      <c r="C100" s="200"/>
      <c r="D100" s="201"/>
      <c r="E100" s="205">
        <f t="shared" ref="E100:I100" si="43">SUM(E97:E98)</f>
        <v>0</v>
      </c>
      <c r="F100" s="205">
        <f t="shared" si="43"/>
        <v>-1075</v>
      </c>
      <c r="G100" s="205">
        <f t="shared" si="43"/>
        <v>-1575</v>
      </c>
      <c r="H100" s="205">
        <f t="shared" si="43"/>
        <v>-2075</v>
      </c>
      <c r="I100" s="205">
        <f t="shared" si="43"/>
        <v>-2575</v>
      </c>
      <c r="J100" s="198"/>
      <c r="K100" s="144"/>
      <c r="L100" s="145"/>
      <c r="M100" s="144"/>
      <c r="N100" s="146"/>
      <c r="O100" s="146"/>
      <c r="P100" s="12"/>
      <c r="Q100" s="12"/>
      <c r="R100" s="12"/>
      <c r="S100" s="12"/>
      <c r="T100" s="12"/>
      <c r="U100" s="12"/>
      <c r="V100" s="12"/>
      <c r="W100" s="12"/>
      <c r="X100" s="12"/>
      <c r="Y100" s="12"/>
      <c r="Z100" s="12"/>
    </row>
    <row r="101" spans="1:26" ht="7.5" customHeight="1" x14ac:dyDescent="0.15">
      <c r="A101" s="12"/>
      <c r="B101" s="209"/>
      <c r="C101" s="209"/>
      <c r="D101" s="12"/>
      <c r="E101" s="111"/>
      <c r="F101" s="210"/>
      <c r="G101" s="210"/>
      <c r="H101" s="210"/>
      <c r="I101" s="210"/>
      <c r="J101" s="12"/>
      <c r="K101" s="12"/>
      <c r="L101" s="138"/>
      <c r="M101" s="12"/>
      <c r="N101" s="211"/>
      <c r="O101" s="211"/>
      <c r="P101" s="12"/>
      <c r="Q101" s="12"/>
      <c r="R101" s="12"/>
      <c r="S101" s="12"/>
      <c r="T101" s="12"/>
      <c r="U101" s="12"/>
      <c r="V101" s="12"/>
      <c r="W101" s="12"/>
      <c r="X101" s="12"/>
      <c r="Y101" s="12"/>
      <c r="Z101" s="12"/>
    </row>
    <row r="102" spans="1:26" ht="12.75" customHeight="1" x14ac:dyDescent="0.15">
      <c r="A102" s="12"/>
      <c r="B102" s="212" t="s">
        <v>204</v>
      </c>
      <c r="C102" s="212"/>
      <c r="D102" s="213"/>
      <c r="E102" s="214">
        <f t="shared" ref="E102:I102" si="44">SUM(E87,E33,E91,E92,E97,E98)</f>
        <v>-3750.9750000000004</v>
      </c>
      <c r="F102" s="214">
        <f t="shared" si="44"/>
        <v>633.48000000000047</v>
      </c>
      <c r="G102" s="214">
        <f t="shared" si="44"/>
        <v>408.58306250000078</v>
      </c>
      <c r="H102" s="214">
        <f t="shared" si="44"/>
        <v>-204.25128593750014</v>
      </c>
      <c r="I102" s="214">
        <f t="shared" si="44"/>
        <v>-1472.2640530859362</v>
      </c>
      <c r="J102" s="215"/>
      <c r="K102" s="12"/>
      <c r="L102" s="138"/>
      <c r="M102" s="12"/>
      <c r="N102" s="12"/>
      <c r="O102" s="12"/>
      <c r="P102" s="12"/>
      <c r="Q102" s="12"/>
      <c r="R102" s="12"/>
      <c r="S102" s="12"/>
      <c r="T102" s="12"/>
      <c r="U102" s="12"/>
      <c r="V102" s="12"/>
      <c r="W102" s="12"/>
      <c r="X102" s="12"/>
      <c r="Y102" s="12"/>
      <c r="Z102" s="12"/>
    </row>
    <row r="103" spans="1:26" ht="12.75" customHeight="1" x14ac:dyDescent="0.15">
      <c r="A103" s="12"/>
      <c r="B103" s="216"/>
      <c r="C103" s="216"/>
      <c r="D103" s="217"/>
      <c r="E103" s="1"/>
      <c r="F103" s="1"/>
      <c r="G103" s="1"/>
      <c r="H103" s="1"/>
      <c r="I103" s="1"/>
      <c r="J103" s="1"/>
      <c r="K103" s="12"/>
      <c r="L103" s="138"/>
      <c r="M103" s="12"/>
      <c r="N103" s="12"/>
      <c r="O103" s="12"/>
      <c r="P103" s="12"/>
      <c r="Q103" s="12"/>
      <c r="R103" s="12"/>
      <c r="S103" s="12"/>
      <c r="T103" s="12"/>
      <c r="U103" s="12"/>
      <c r="V103" s="12"/>
      <c r="W103" s="12"/>
      <c r="X103" s="12"/>
      <c r="Y103" s="12"/>
      <c r="Z103" s="12"/>
    </row>
    <row r="104" spans="1:26" ht="16.5" customHeight="1" x14ac:dyDescent="0.15">
      <c r="A104" s="12"/>
      <c r="B104" s="336" t="s">
        <v>205</v>
      </c>
      <c r="C104" s="324"/>
      <c r="D104" s="324"/>
      <c r="E104" s="324"/>
      <c r="F104" s="324"/>
      <c r="G104" s="324"/>
      <c r="H104" s="324"/>
      <c r="I104" s="324"/>
      <c r="J104" s="324"/>
      <c r="K104" s="12"/>
      <c r="L104" s="138"/>
      <c r="M104" s="12"/>
      <c r="N104" s="12"/>
      <c r="O104" s="12"/>
      <c r="P104" s="12"/>
      <c r="Q104" s="12"/>
      <c r="R104" s="12"/>
      <c r="S104" s="12"/>
      <c r="T104" s="12"/>
      <c r="U104" s="12"/>
      <c r="V104" s="12"/>
      <c r="W104" s="12"/>
      <c r="X104" s="12"/>
      <c r="Y104" s="12"/>
      <c r="Z104" s="12"/>
    </row>
    <row r="105" spans="1:26" ht="12.75" customHeight="1" x14ac:dyDescent="0.15">
      <c r="A105" s="12"/>
      <c r="B105" s="352" t="s">
        <v>17</v>
      </c>
      <c r="C105" s="353"/>
      <c r="D105" s="353"/>
      <c r="E105" s="353"/>
      <c r="F105" s="353"/>
      <c r="G105" s="353"/>
      <c r="H105" s="353"/>
      <c r="I105" s="101"/>
      <c r="J105" s="101"/>
      <c r="K105" s="12"/>
      <c r="L105" s="138"/>
      <c r="M105" s="12"/>
      <c r="N105" s="12"/>
      <c r="O105" s="12"/>
      <c r="P105" s="12"/>
      <c r="Q105" s="12"/>
      <c r="R105" s="12"/>
      <c r="S105" s="12"/>
      <c r="T105" s="12"/>
      <c r="U105" s="12"/>
      <c r="V105" s="12"/>
      <c r="W105" s="12"/>
      <c r="X105" s="12"/>
      <c r="Y105" s="12"/>
      <c r="Z105" s="12"/>
    </row>
    <row r="106" spans="1:26" ht="12.75" customHeight="1" x14ac:dyDescent="0.15">
      <c r="A106" s="12"/>
      <c r="B106" s="139"/>
      <c r="C106" s="102" t="s">
        <v>18</v>
      </c>
      <c r="D106" s="102" t="s">
        <v>19</v>
      </c>
      <c r="E106" s="102" t="s">
        <v>20</v>
      </c>
      <c r="F106" s="102" t="s">
        <v>21</v>
      </c>
      <c r="G106" s="102" t="s">
        <v>22</v>
      </c>
      <c r="H106" s="102" t="s">
        <v>23</v>
      </c>
      <c r="I106" s="102" t="s">
        <v>24</v>
      </c>
      <c r="J106" s="102"/>
      <c r="K106" s="12"/>
      <c r="L106" s="138"/>
      <c r="M106" s="12"/>
      <c r="N106" s="12"/>
      <c r="O106" s="12"/>
      <c r="P106" s="12"/>
      <c r="Q106" s="12"/>
      <c r="R106" s="12"/>
      <c r="S106" s="12"/>
      <c r="T106" s="12"/>
      <c r="U106" s="12"/>
      <c r="V106" s="12"/>
      <c r="W106" s="12"/>
      <c r="X106" s="12"/>
      <c r="Y106" s="12"/>
      <c r="Z106" s="12"/>
    </row>
    <row r="107" spans="1:26" ht="12.75" customHeight="1" x14ac:dyDescent="0.15">
      <c r="A107" s="12"/>
      <c r="B107" s="218"/>
      <c r="C107" s="219"/>
      <c r="D107" s="220"/>
      <c r="E107" s="221">
        <v>4.4999999999999998E-2</v>
      </c>
      <c r="F107" s="221">
        <v>4.4999999999999998E-2</v>
      </c>
      <c r="G107" s="221">
        <v>4.4999999999999998E-2</v>
      </c>
      <c r="H107" s="221">
        <v>4.4999999999999998E-2</v>
      </c>
      <c r="I107" s="221">
        <v>4.4999999999999998E-2</v>
      </c>
      <c r="J107" s="12"/>
      <c r="K107" s="12"/>
      <c r="L107" s="138"/>
      <c r="M107" s="12"/>
      <c r="N107" s="12"/>
      <c r="O107" s="12"/>
      <c r="P107" s="12"/>
      <c r="Q107" s="12"/>
      <c r="R107" s="12"/>
      <c r="S107" s="12"/>
      <c r="T107" s="12"/>
      <c r="U107" s="12"/>
      <c r="V107" s="12"/>
      <c r="W107" s="12"/>
      <c r="X107" s="12"/>
      <c r="Y107" s="12"/>
      <c r="Z107" s="12"/>
    </row>
    <row r="108" spans="1:26" ht="12.75" customHeight="1" x14ac:dyDescent="0.15">
      <c r="A108" s="12"/>
      <c r="B108" s="222" t="s">
        <v>206</v>
      </c>
      <c r="C108" s="223"/>
      <c r="D108" s="224">
        <f>C_Financier!D51</f>
        <v>-8619</v>
      </c>
      <c r="E108" s="224">
        <f>C_Financier!E51</f>
        <v>-10189</v>
      </c>
      <c r="F108" s="224">
        <f>C_Financier!F51</f>
        <v>-9000</v>
      </c>
      <c r="G108" s="224">
        <f>C_Financier!G51</f>
        <v>-9888</v>
      </c>
      <c r="H108" s="224">
        <f>C_Financier!H51</f>
        <v>-9990</v>
      </c>
      <c r="I108" s="224">
        <f>C_Financier!I51</f>
        <v>-10808</v>
      </c>
      <c r="J108" s="225"/>
      <c r="K108" s="12"/>
      <c r="L108" s="138"/>
      <c r="M108" s="12"/>
      <c r="N108" s="12"/>
      <c r="O108" s="12"/>
      <c r="P108" s="12"/>
      <c r="Q108" s="12"/>
      <c r="R108" s="12"/>
      <c r="S108" s="12"/>
      <c r="T108" s="12"/>
      <c r="U108" s="12"/>
      <c r="V108" s="12"/>
      <c r="W108" s="12"/>
      <c r="X108" s="12"/>
      <c r="Y108" s="12"/>
      <c r="Z108" s="12"/>
    </row>
    <row r="109" spans="1:26" ht="12.75" customHeight="1" x14ac:dyDescent="0.15">
      <c r="A109" s="12"/>
      <c r="B109" s="226" t="s">
        <v>207</v>
      </c>
      <c r="C109" s="219"/>
      <c r="D109" s="225"/>
      <c r="E109" s="225">
        <f t="shared" ref="E109:I109" si="45">SUMIFS(E$46:E$84,$N$46:$N$84,$B159)</f>
        <v>0</v>
      </c>
      <c r="F109" s="225">
        <f t="shared" si="45"/>
        <v>0</v>
      </c>
      <c r="G109" s="225">
        <f t="shared" si="45"/>
        <v>0</v>
      </c>
      <c r="H109" s="225">
        <f t="shared" si="45"/>
        <v>0</v>
      </c>
      <c r="I109" s="225">
        <f t="shared" si="45"/>
        <v>0</v>
      </c>
      <c r="J109" s="225"/>
      <c r="K109" s="12"/>
      <c r="L109" s="138"/>
      <c r="M109" s="12"/>
      <c r="N109" s="12"/>
      <c r="O109" s="12"/>
      <c r="P109" s="12"/>
      <c r="Q109" s="12"/>
      <c r="R109" s="12"/>
      <c r="S109" s="12"/>
      <c r="T109" s="12"/>
      <c r="U109" s="12"/>
      <c r="V109" s="12"/>
      <c r="W109" s="12"/>
      <c r="X109" s="12"/>
      <c r="Y109" s="12"/>
      <c r="Z109" s="12"/>
    </row>
    <row r="110" spans="1:26" ht="12.75" customHeight="1" x14ac:dyDescent="0.15">
      <c r="A110" s="12"/>
      <c r="B110" s="226" t="s">
        <v>208</v>
      </c>
      <c r="C110" s="219"/>
      <c r="D110" s="225"/>
      <c r="E110" s="225">
        <f t="shared" ref="E110:I110" si="46">ROUND((E102-E109)*E107,0)</f>
        <v>-169</v>
      </c>
      <c r="F110" s="225">
        <f t="shared" si="46"/>
        <v>29</v>
      </c>
      <c r="G110" s="225">
        <f t="shared" si="46"/>
        <v>18</v>
      </c>
      <c r="H110" s="225">
        <f t="shared" si="46"/>
        <v>-9</v>
      </c>
      <c r="I110" s="225">
        <f t="shared" si="46"/>
        <v>-66</v>
      </c>
      <c r="J110" s="225"/>
      <c r="K110" s="12"/>
      <c r="L110" s="138"/>
      <c r="M110" s="12"/>
      <c r="N110" s="12"/>
      <c r="O110" s="12"/>
      <c r="P110" s="12"/>
      <c r="Q110" s="12"/>
      <c r="R110" s="12"/>
      <c r="S110" s="12"/>
      <c r="T110" s="12"/>
      <c r="U110" s="12"/>
      <c r="V110" s="12"/>
      <c r="W110" s="12"/>
      <c r="X110" s="12"/>
      <c r="Y110" s="12"/>
      <c r="Z110" s="12"/>
    </row>
    <row r="111" spans="1:26" ht="12.75" customHeight="1" x14ac:dyDescent="0.15">
      <c r="A111" s="12"/>
      <c r="B111" s="226" t="s">
        <v>209</v>
      </c>
      <c r="C111" s="219"/>
      <c r="D111" s="225"/>
      <c r="E111" s="225"/>
      <c r="F111" s="225">
        <f t="shared" ref="F111:I111" si="47">SUM($E$110:E110)</f>
        <v>-169</v>
      </c>
      <c r="G111" s="225">
        <f t="shared" si="47"/>
        <v>-140</v>
      </c>
      <c r="H111" s="225">
        <f t="shared" si="47"/>
        <v>-122</v>
      </c>
      <c r="I111" s="225">
        <f t="shared" si="47"/>
        <v>-131</v>
      </c>
      <c r="J111" s="225"/>
      <c r="K111" s="12"/>
      <c r="L111" s="138"/>
      <c r="M111" s="12"/>
      <c r="N111" s="12"/>
      <c r="O111" s="12"/>
      <c r="P111" s="12"/>
      <c r="Q111" s="12"/>
      <c r="R111" s="12"/>
      <c r="S111" s="12"/>
      <c r="T111" s="12"/>
      <c r="U111" s="12"/>
      <c r="V111" s="12"/>
      <c r="W111" s="12"/>
      <c r="X111" s="12"/>
      <c r="Y111" s="12"/>
      <c r="Z111" s="12"/>
    </row>
    <row r="112" spans="1:26" ht="12.75" customHeight="1" x14ac:dyDescent="0.15">
      <c r="A112" s="12"/>
      <c r="B112" s="226" t="s">
        <v>210</v>
      </c>
      <c r="C112" s="219"/>
      <c r="D112" s="225"/>
      <c r="E112" s="225"/>
      <c r="F112" s="225">
        <f t="shared" ref="F112:I112" si="48">ROUND(SUM(E109:E112)*F107,0)</f>
        <v>-8</v>
      </c>
      <c r="G112" s="225">
        <f t="shared" si="48"/>
        <v>-7</v>
      </c>
      <c r="H112" s="225">
        <f t="shared" si="48"/>
        <v>-6</v>
      </c>
      <c r="I112" s="225">
        <f t="shared" si="48"/>
        <v>-6</v>
      </c>
      <c r="J112" s="225"/>
      <c r="K112" s="12"/>
      <c r="L112" s="138"/>
      <c r="M112" s="12"/>
      <c r="N112" s="12"/>
      <c r="O112" s="12"/>
      <c r="P112" s="12"/>
      <c r="Q112" s="12"/>
      <c r="R112" s="12"/>
      <c r="S112" s="12"/>
      <c r="T112" s="12"/>
      <c r="U112" s="12"/>
      <c r="V112" s="12"/>
      <c r="W112" s="12"/>
      <c r="X112" s="12"/>
      <c r="Y112" s="12"/>
      <c r="Z112" s="12"/>
    </row>
    <row r="113" spans="1:26" ht="12.75" customHeight="1" x14ac:dyDescent="0.15">
      <c r="A113" s="12"/>
      <c r="B113" s="222" t="s">
        <v>211</v>
      </c>
      <c r="C113" s="223"/>
      <c r="D113" s="224"/>
      <c r="E113" s="224">
        <f t="shared" ref="E113:I113" si="49">SUM(E109:E112)</f>
        <v>-169</v>
      </c>
      <c r="F113" s="224">
        <f t="shared" si="49"/>
        <v>-148</v>
      </c>
      <c r="G113" s="224">
        <f t="shared" si="49"/>
        <v>-129</v>
      </c>
      <c r="H113" s="224">
        <f t="shared" si="49"/>
        <v>-137</v>
      </c>
      <c r="I113" s="224">
        <f t="shared" si="49"/>
        <v>-203</v>
      </c>
      <c r="J113" s="224"/>
      <c r="K113" s="12"/>
      <c r="L113" s="138"/>
      <c r="M113" s="12"/>
      <c r="N113" s="12"/>
      <c r="O113" s="12"/>
      <c r="P113" s="12"/>
      <c r="Q113" s="12"/>
      <c r="R113" s="12"/>
      <c r="S113" s="12"/>
      <c r="T113" s="12"/>
      <c r="U113" s="12"/>
      <c r="V113" s="12"/>
      <c r="W113" s="12"/>
      <c r="X113" s="12"/>
      <c r="Y113" s="12"/>
      <c r="Z113" s="12"/>
    </row>
    <row r="114" spans="1:26" ht="12.75" customHeight="1" x14ac:dyDescent="0.15">
      <c r="A114" s="12"/>
      <c r="B114" s="98" t="s">
        <v>212</v>
      </c>
      <c r="C114" s="219"/>
      <c r="D114" s="99">
        <f t="shared" ref="D114:I114" si="50">D108+D113</f>
        <v>-8619</v>
      </c>
      <c r="E114" s="99">
        <f t="shared" si="50"/>
        <v>-10358</v>
      </c>
      <c r="F114" s="99">
        <f t="shared" si="50"/>
        <v>-9148</v>
      </c>
      <c r="G114" s="99">
        <f t="shared" si="50"/>
        <v>-10017</v>
      </c>
      <c r="H114" s="99">
        <f t="shared" si="50"/>
        <v>-10127</v>
      </c>
      <c r="I114" s="99">
        <f t="shared" si="50"/>
        <v>-11011</v>
      </c>
      <c r="J114" s="227"/>
      <c r="K114" s="12"/>
      <c r="L114" s="138"/>
      <c r="M114" s="12"/>
      <c r="N114" s="12"/>
      <c r="O114" s="12"/>
      <c r="P114" s="12"/>
      <c r="Q114" s="12"/>
      <c r="R114" s="12"/>
      <c r="S114" s="12"/>
      <c r="T114" s="12"/>
      <c r="U114" s="12"/>
      <c r="V114" s="12"/>
      <c r="W114" s="12"/>
      <c r="X114" s="12"/>
      <c r="Y114" s="12"/>
      <c r="Z114" s="12"/>
    </row>
    <row r="115" spans="1:26" ht="273" customHeight="1" x14ac:dyDescent="0.15">
      <c r="A115" s="12"/>
      <c r="B115" s="358" t="s">
        <v>213</v>
      </c>
      <c r="C115" s="357"/>
      <c r="D115" s="357"/>
      <c r="E115" s="357"/>
      <c r="F115" s="357"/>
      <c r="G115" s="357"/>
      <c r="H115" s="357"/>
      <c r="I115" s="357"/>
      <c r="J115" s="357"/>
      <c r="K115" s="12"/>
      <c r="L115" s="138"/>
      <c r="M115" s="12"/>
      <c r="N115" s="354" t="s">
        <v>214</v>
      </c>
      <c r="O115" s="324"/>
      <c r="P115" s="12"/>
      <c r="Q115" s="12"/>
      <c r="R115" s="12"/>
      <c r="S115" s="12"/>
      <c r="T115" s="12"/>
      <c r="U115" s="12"/>
      <c r="V115" s="12"/>
      <c r="W115" s="12"/>
      <c r="X115" s="12"/>
      <c r="Y115" s="12"/>
      <c r="Z115" s="12"/>
    </row>
    <row r="116" spans="1:26" ht="14.25" customHeight="1" x14ac:dyDescent="0.15">
      <c r="A116" s="12"/>
      <c r="B116" s="12"/>
      <c r="C116" s="12"/>
      <c r="D116" s="12"/>
      <c r="E116" s="12"/>
      <c r="F116" s="12"/>
      <c r="G116" s="12"/>
      <c r="H116" s="12"/>
      <c r="I116" s="12"/>
      <c r="J116" s="12"/>
      <c r="K116" s="12"/>
      <c r="L116" s="138"/>
      <c r="M116" s="12"/>
      <c r="N116" s="228"/>
      <c r="O116" s="228"/>
      <c r="P116" s="12"/>
      <c r="Q116" s="12"/>
      <c r="R116" s="12"/>
      <c r="S116" s="12"/>
      <c r="T116" s="12"/>
      <c r="U116" s="12"/>
      <c r="V116" s="12"/>
      <c r="W116" s="228"/>
      <c r="X116" s="228"/>
      <c r="Y116" s="12"/>
      <c r="Z116" s="12"/>
    </row>
    <row r="117" spans="1:26" ht="16.5" customHeight="1" x14ac:dyDescent="0.15">
      <c r="A117" s="12"/>
      <c r="B117" s="350" t="s">
        <v>215</v>
      </c>
      <c r="C117" s="324"/>
      <c r="D117" s="324"/>
      <c r="E117" s="324"/>
      <c r="F117" s="324"/>
      <c r="G117" s="324"/>
      <c r="H117" s="324"/>
      <c r="I117" s="324"/>
      <c r="J117" s="324"/>
      <c r="K117" s="12"/>
      <c r="L117" s="138"/>
      <c r="M117" s="12"/>
      <c r="N117" s="228"/>
      <c r="O117" s="228"/>
      <c r="P117" s="12"/>
      <c r="Q117" s="12"/>
      <c r="R117" s="12"/>
      <c r="S117" s="12"/>
      <c r="T117" s="12"/>
      <c r="U117" s="12"/>
      <c r="V117" s="12"/>
      <c r="W117" s="228"/>
      <c r="X117" s="228"/>
      <c r="Y117" s="12"/>
      <c r="Z117" s="12"/>
    </row>
    <row r="118" spans="1:26" ht="12.75" customHeight="1" x14ac:dyDescent="0.15">
      <c r="A118" s="12"/>
      <c r="B118" s="355" t="s">
        <v>17</v>
      </c>
      <c r="C118" s="353"/>
      <c r="D118" s="353"/>
      <c r="E118" s="353"/>
      <c r="F118" s="353"/>
      <c r="G118" s="353"/>
      <c r="H118" s="353"/>
      <c r="I118" s="353"/>
      <c r="J118" s="353"/>
      <c r="K118" s="12"/>
      <c r="L118" s="138"/>
      <c r="M118" s="12"/>
      <c r="N118" s="228"/>
      <c r="O118" s="228"/>
      <c r="P118" s="12"/>
      <c r="Q118" s="12"/>
      <c r="R118" s="12"/>
      <c r="S118" s="12"/>
      <c r="T118" s="12"/>
      <c r="U118" s="12"/>
      <c r="V118" s="12"/>
      <c r="W118" s="228"/>
      <c r="X118" s="228"/>
      <c r="Y118" s="12"/>
      <c r="Z118" s="12"/>
    </row>
    <row r="119" spans="1:26" ht="39.75" customHeight="1" x14ac:dyDescent="0.15">
      <c r="A119" s="12"/>
      <c r="B119" s="139"/>
      <c r="C119" s="102" t="s">
        <v>18</v>
      </c>
      <c r="D119" s="102" t="s">
        <v>19</v>
      </c>
      <c r="E119" s="102" t="s">
        <v>20</v>
      </c>
      <c r="F119" s="102" t="s">
        <v>21</v>
      </c>
      <c r="G119" s="102" t="s">
        <v>22</v>
      </c>
      <c r="H119" s="102" t="s">
        <v>23</v>
      </c>
      <c r="I119" s="102" t="s">
        <v>24</v>
      </c>
      <c r="J119" s="102" t="s">
        <v>216</v>
      </c>
      <c r="K119" s="12"/>
      <c r="L119" s="138"/>
      <c r="M119" s="12"/>
      <c r="N119" s="228"/>
      <c r="O119" s="228"/>
      <c r="P119" s="12"/>
      <c r="Q119" s="12"/>
      <c r="R119" s="12"/>
      <c r="S119" s="12"/>
      <c r="T119" s="12"/>
      <c r="U119" s="12"/>
      <c r="V119" s="12"/>
      <c r="W119" s="228"/>
      <c r="X119" s="228"/>
      <c r="Y119" s="12"/>
      <c r="Z119" s="12"/>
    </row>
    <row r="120" spans="1:26" ht="12.75" customHeight="1" x14ac:dyDescent="0.15">
      <c r="A120" s="12"/>
      <c r="B120" s="229" t="s">
        <v>217</v>
      </c>
      <c r="C120" s="230">
        <f t="shared" ref="C120:I120" si="51">C130+C132</f>
        <v>122584</v>
      </c>
      <c r="D120" s="230">
        <f t="shared" si="51"/>
        <v>139392</v>
      </c>
      <c r="E120" s="230">
        <f t="shared" si="51"/>
        <v>145449.625</v>
      </c>
      <c r="F120" s="230">
        <f t="shared" si="51"/>
        <v>150736.97750000001</v>
      </c>
      <c r="G120" s="230">
        <f t="shared" si="51"/>
        <v>156249.45799999998</v>
      </c>
      <c r="H120" s="230">
        <f t="shared" si="51"/>
        <v>162237.963025</v>
      </c>
      <c r="I120" s="230">
        <f t="shared" si="51"/>
        <v>167262.54658875</v>
      </c>
      <c r="J120" s="12"/>
      <c r="K120" s="12"/>
      <c r="L120" s="138"/>
      <c r="M120" s="12"/>
      <c r="N120" s="228"/>
      <c r="O120" s="228"/>
      <c r="P120" s="12"/>
      <c r="Q120" s="12"/>
      <c r="R120" s="12"/>
      <c r="S120" s="12"/>
      <c r="T120" s="12"/>
      <c r="U120" s="12"/>
      <c r="V120" s="12"/>
      <c r="W120" s="228"/>
      <c r="X120" s="228"/>
      <c r="Y120" s="12"/>
      <c r="Z120" s="12"/>
    </row>
    <row r="121" spans="1:26" ht="12.75" customHeight="1" x14ac:dyDescent="0.15">
      <c r="A121" s="12"/>
      <c r="B121" s="231" t="s">
        <v>36</v>
      </c>
      <c r="C121" s="231"/>
      <c r="D121" s="232">
        <f>C_Financier!D24</f>
        <v>13.711414213926787</v>
      </c>
      <c r="E121" s="232">
        <f t="shared" ref="E121:I121" si="52">(((E120-D120)/D120))*100</f>
        <v>4.345747962580349</v>
      </c>
      <c r="F121" s="232">
        <f t="shared" si="52"/>
        <v>3.6351778149995289</v>
      </c>
      <c r="G121" s="232">
        <f t="shared" si="52"/>
        <v>3.6570193932673059</v>
      </c>
      <c r="H121" s="232">
        <f t="shared" si="52"/>
        <v>3.8326565107189179</v>
      </c>
      <c r="I121" s="232">
        <f t="shared" si="52"/>
        <v>3.0970455188566053</v>
      </c>
      <c r="J121" s="31">
        <f>IFERROR((POWER(I120/C120,1/6)-1)*100,"Erreur")</f>
        <v>5.3159507353931712</v>
      </c>
      <c r="K121" s="12"/>
      <c r="L121" s="138"/>
      <c r="M121" s="12"/>
      <c r="N121" s="228"/>
      <c r="O121" s="228"/>
      <c r="P121" s="12"/>
      <c r="Q121" s="12"/>
      <c r="R121" s="12"/>
      <c r="S121" s="12"/>
      <c r="T121" s="12"/>
      <c r="U121" s="12"/>
      <c r="V121" s="12"/>
      <c r="W121" s="228"/>
      <c r="X121" s="228"/>
      <c r="Y121" s="12"/>
      <c r="Z121" s="12"/>
    </row>
    <row r="122" spans="1:26" ht="12.75" customHeight="1" outlineLevel="1" x14ac:dyDescent="0.15">
      <c r="A122" s="12"/>
      <c r="B122" s="233" t="str">
        <f>$A$304</f>
        <v>Impôt des particuliers</v>
      </c>
      <c r="C122" s="234">
        <f>C_Financier!C9</f>
        <v>34998</v>
      </c>
      <c r="D122" s="234">
        <f>C_Financier!D9</f>
        <v>41285</v>
      </c>
      <c r="E122" s="234">
        <f>C_Financier!E9+SUMIFS(E$6:E$31,$N$6:$N$31,$B122)</f>
        <v>42104</v>
      </c>
      <c r="F122" s="234">
        <f>C_Financier!F9+SUMIFS(F$6:F$31,$N$6:$N$31,$B122)</f>
        <v>44214.942499999997</v>
      </c>
      <c r="G122" s="234">
        <f>C_Financier!G9+SUMIFS(G$6:G$31,$N$6:$N$31,$B122)</f>
        <v>45913.934999999998</v>
      </c>
      <c r="H122" s="234">
        <f>C_Financier!H9+SUMIFS(H$6:H$31,$N$6:$N$31,$B122)</f>
        <v>47795.375874999998</v>
      </c>
      <c r="I122" s="234">
        <f>C_Financier!I9+SUMIFS(I$6:I$31,$N$6:$N$31,$B122)</f>
        <v>49574.017651249997</v>
      </c>
      <c r="J122" s="235">
        <f t="shared" ref="J122:J129" si="53">IFERROR((POWER(I122/C122,1/6)-1)*100,"Erreur")</f>
        <v>5.9746070860586586</v>
      </c>
      <c r="K122" s="12"/>
      <c r="L122" s="138"/>
      <c r="M122" s="12"/>
      <c r="N122" s="12"/>
      <c r="O122" s="228"/>
      <c r="P122" s="12"/>
      <c r="Q122" s="12"/>
      <c r="R122" s="12"/>
      <c r="S122" s="12"/>
      <c r="T122" s="12"/>
      <c r="U122" s="12"/>
      <c r="V122" s="12"/>
      <c r="W122" s="228"/>
      <c r="X122" s="228"/>
      <c r="Y122" s="12"/>
      <c r="Z122" s="12"/>
    </row>
    <row r="123" spans="1:26" ht="15" customHeight="1" outlineLevel="1" x14ac:dyDescent="0.15">
      <c r="A123" s="12"/>
      <c r="B123" s="236" t="str">
        <f>$A$305</f>
        <v>Cotisations pour les services de santé</v>
      </c>
      <c r="C123" s="237">
        <f>C_Financier!C10</f>
        <v>6398</v>
      </c>
      <c r="D123" s="237">
        <f>C_Financier!D10</f>
        <v>7367</v>
      </c>
      <c r="E123" s="237">
        <f>C_Financier!E10+SUMIFS(E$6:E$31,$N$6:$N$31,$B123)</f>
        <v>7784</v>
      </c>
      <c r="F123" s="237">
        <f>C_Financier!F10+SUMIFS(F$6:F$31,$N$6:$N$31,$B123)</f>
        <v>7964</v>
      </c>
      <c r="G123" s="237">
        <f>C_Financier!G10+SUMIFS(G$6:G$31,$N$6:$N$31,$B123)</f>
        <v>8187</v>
      </c>
      <c r="H123" s="237">
        <f>C_Financier!H10+SUMIFS(H$6:H$31,$N$6:$N$31,$B123)</f>
        <v>8393</v>
      </c>
      <c r="I123" s="237">
        <f>C_Financier!I10+SUMIFS(I$6:I$31,$N$6:$N$31,$B123)</f>
        <v>8603</v>
      </c>
      <c r="J123" s="238">
        <f t="shared" si="53"/>
        <v>5.0592463878087024</v>
      </c>
      <c r="K123" s="12"/>
      <c r="L123" s="138"/>
      <c r="M123" s="12"/>
      <c r="N123" s="12"/>
      <c r="O123" s="228"/>
      <c r="P123" s="12"/>
      <c r="Q123" s="12"/>
      <c r="R123" s="12"/>
      <c r="S123" s="12"/>
      <c r="T123" s="12"/>
      <c r="U123" s="12"/>
      <c r="V123" s="12"/>
      <c r="W123" s="228"/>
      <c r="X123" s="228"/>
      <c r="Y123" s="12"/>
      <c r="Z123" s="12"/>
    </row>
    <row r="124" spans="1:26" ht="12.75" customHeight="1" outlineLevel="1" x14ac:dyDescent="0.15">
      <c r="A124" s="12"/>
      <c r="B124" s="236" t="str">
        <f>$A$306</f>
        <v>Impôts des sociétés</v>
      </c>
      <c r="C124" s="237">
        <f>C_Financier!C11</f>
        <v>8951</v>
      </c>
      <c r="D124" s="237">
        <f>C_Financier!D11</f>
        <v>12927</v>
      </c>
      <c r="E124" s="237">
        <f>C_Financier!E11+SUMIFS(E$6:E$31,$N$6:$N$31,$B124)</f>
        <v>13586.2</v>
      </c>
      <c r="F124" s="237">
        <f>C_Financier!F11+SUMIFS(F$6:F$31,$N$6:$N$31,$B124)</f>
        <v>14594.26</v>
      </c>
      <c r="G124" s="237">
        <f>C_Financier!G11+SUMIFS(G$6:G$31,$N$6:$N$31,$B124)</f>
        <v>16009.923000000001</v>
      </c>
      <c r="H124" s="237">
        <f>C_Financier!H11+SUMIFS(H$6:H$31,$N$6:$N$31,$B124)</f>
        <v>16973.80315</v>
      </c>
      <c r="I124" s="237">
        <f>C_Financier!I11+SUMIFS(I$6:I$31,$N$6:$N$31,$B124)</f>
        <v>17700.9535775</v>
      </c>
      <c r="J124" s="238">
        <f t="shared" si="53"/>
        <v>12.035120171429782</v>
      </c>
      <c r="K124" s="12"/>
      <c r="L124" s="138"/>
      <c r="M124" s="12"/>
      <c r="N124" s="12"/>
      <c r="O124" s="228"/>
      <c r="P124" s="12"/>
      <c r="Q124" s="12"/>
      <c r="R124" s="12"/>
      <c r="S124" s="12"/>
      <c r="T124" s="12"/>
      <c r="U124" s="12"/>
      <c r="V124" s="12"/>
      <c r="W124" s="228"/>
      <c r="X124" s="228"/>
      <c r="Y124" s="12"/>
      <c r="Z124" s="12"/>
    </row>
    <row r="125" spans="1:26" ht="12.75" customHeight="1" outlineLevel="1" x14ac:dyDescent="0.15">
      <c r="A125" s="12"/>
      <c r="B125" s="236" t="str">
        <f>$A$307</f>
        <v>Impôt foncier scolaire</v>
      </c>
      <c r="C125" s="237">
        <f>C_Financier!C12</f>
        <v>1156</v>
      </c>
      <c r="D125" s="237">
        <f>C_Financier!D12</f>
        <v>1081</v>
      </c>
      <c r="E125" s="237">
        <f>C_Financier!E12+SUMIFS(E$6:E$31,$N$6:$N$31,$B125)</f>
        <v>1048</v>
      </c>
      <c r="F125" s="237">
        <f>C_Financier!F12+SUMIFS(F$6:F$31,$N$6:$N$31,$B125)</f>
        <v>1106</v>
      </c>
      <c r="G125" s="237">
        <f>C_Financier!G12+SUMIFS(G$6:G$31,$N$6:$N$31,$B125)</f>
        <v>1187</v>
      </c>
      <c r="H125" s="237">
        <f>C_Financier!H12+SUMIFS(H$6:H$31,$N$6:$N$31,$B125)</f>
        <v>1251</v>
      </c>
      <c r="I125" s="237">
        <f>C_Financier!I12+SUMIFS(I$6:I$31,$N$6:$N$31,$B125)</f>
        <v>1299</v>
      </c>
      <c r="J125" s="238">
        <f t="shared" si="53"/>
        <v>1.9628312360282285</v>
      </c>
      <c r="K125" s="12"/>
      <c r="L125" s="138"/>
      <c r="M125" s="12"/>
      <c r="N125" s="12"/>
      <c r="O125" s="228"/>
      <c r="P125" s="12"/>
      <c r="Q125" s="12"/>
      <c r="R125" s="12"/>
      <c r="S125" s="12"/>
      <c r="T125" s="12"/>
      <c r="U125" s="12"/>
      <c r="V125" s="12"/>
      <c r="W125" s="228"/>
      <c r="X125" s="228"/>
      <c r="Y125" s="12"/>
      <c r="Z125" s="12"/>
    </row>
    <row r="126" spans="1:26" ht="12.75" customHeight="1" outlineLevel="1" x14ac:dyDescent="0.15">
      <c r="A126" s="12"/>
      <c r="B126" s="236" t="str">
        <f>$A$308</f>
        <v>Taxes à la consommation</v>
      </c>
      <c r="C126" s="237">
        <f>C_Financier!C13</f>
        <v>21377</v>
      </c>
      <c r="D126" s="237">
        <f>C_Financier!D13</f>
        <v>24673</v>
      </c>
      <c r="E126" s="237">
        <f>C_Financier!E13+SUMIFS(E$6:E$31,$N$6:$N$31,$B126)</f>
        <v>27973.424999999999</v>
      </c>
      <c r="F126" s="237">
        <f>C_Financier!F13+SUMIFS(F$6:F$31,$N$6:$N$31,$B126)</f>
        <v>28594.775000000001</v>
      </c>
      <c r="G126" s="237">
        <f>C_Financier!G13+SUMIFS(G$6:G$31,$N$6:$N$31,$B126)</f>
        <v>29385.599999999999</v>
      </c>
      <c r="H126" s="237">
        <f>C_Financier!H13+SUMIFS(H$6:H$31,$N$6:$N$31,$B126)</f>
        <v>30137.784</v>
      </c>
      <c r="I126" s="237">
        <f>C_Financier!I13+SUMIFS(I$6:I$31,$N$6:$N$31,$B126)</f>
        <v>30885.575359999999</v>
      </c>
      <c r="J126" s="238">
        <f t="shared" si="53"/>
        <v>6.3248608822555674</v>
      </c>
      <c r="K126" s="12"/>
      <c r="L126" s="138"/>
      <c r="M126" s="12"/>
      <c r="N126" s="12"/>
      <c r="O126" s="228"/>
      <c r="P126" s="12"/>
      <c r="Q126" s="12"/>
      <c r="R126" s="12"/>
      <c r="S126" s="12"/>
      <c r="T126" s="12"/>
      <c r="U126" s="12"/>
      <c r="V126" s="12"/>
      <c r="W126" s="228"/>
      <c r="X126" s="228"/>
      <c r="Y126" s="12"/>
      <c r="Z126" s="12"/>
    </row>
    <row r="127" spans="1:26" ht="12.75" customHeight="1" outlineLevel="1" x14ac:dyDescent="0.15">
      <c r="A127" s="12"/>
      <c r="B127" s="236" t="str">
        <f>$A$309</f>
        <v>Droits et permis</v>
      </c>
      <c r="C127" s="237">
        <f>C_Financier!C14</f>
        <v>4613</v>
      </c>
      <c r="D127" s="237">
        <f>C_Financier!D14</f>
        <v>6049</v>
      </c>
      <c r="E127" s="237">
        <f>C_Financier!E14+SUMIFS(E$6:E$31,$N$6:$N$31,$B127)</f>
        <v>5518</v>
      </c>
      <c r="F127" s="237">
        <f>C_Financier!F14+SUMIFS(F$6:F$31,$N$6:$N$31,$B127)</f>
        <v>5494</v>
      </c>
      <c r="G127" s="237">
        <f>C_Financier!G14+SUMIFS(G$6:G$31,$N$6:$N$31,$B127)</f>
        <v>5544</v>
      </c>
      <c r="H127" s="237">
        <f>C_Financier!H14+SUMIFS(H$6:H$31,$N$6:$N$31,$B127)</f>
        <v>5678</v>
      </c>
      <c r="I127" s="237">
        <f>C_Financier!I14+SUMIFS(I$6:I$31,$N$6:$N$31,$B127)</f>
        <v>5810</v>
      </c>
      <c r="J127" s="238">
        <f t="shared" si="53"/>
        <v>3.9199142321335811</v>
      </c>
      <c r="K127" s="12"/>
      <c r="L127" s="138"/>
      <c r="M127" s="12"/>
      <c r="N127" s="12"/>
      <c r="O127" s="228"/>
      <c r="P127" s="12"/>
      <c r="Q127" s="12"/>
      <c r="R127" s="12"/>
      <c r="S127" s="12"/>
      <c r="T127" s="12"/>
      <c r="U127" s="12"/>
      <c r="V127" s="12"/>
      <c r="W127" s="228"/>
      <c r="X127" s="228"/>
      <c r="Y127" s="12"/>
      <c r="Z127" s="12"/>
    </row>
    <row r="128" spans="1:26" ht="12.75" customHeight="1" outlineLevel="1" x14ac:dyDescent="0.15">
      <c r="A128" s="12"/>
      <c r="B128" s="236" t="str">
        <f>$A$310</f>
        <v>Revenus divers</v>
      </c>
      <c r="C128" s="237">
        <f>C_Financier!C15</f>
        <v>9884</v>
      </c>
      <c r="D128" s="237">
        <f>C_Financier!D15</f>
        <v>10902</v>
      </c>
      <c r="E128" s="237">
        <f>C_Financier!E15+SUMIFS(E$6:E$31,$N$6:$N$31,$B128)</f>
        <v>11629</v>
      </c>
      <c r="F128" s="237">
        <f>C_Financier!F15+SUMIFS(F$6:F$31,$N$6:$N$31,$B128)</f>
        <v>12450</v>
      </c>
      <c r="G128" s="237">
        <f>C_Financier!G15+SUMIFS(G$6:G$31,$N$6:$N$31,$B128)</f>
        <v>13061</v>
      </c>
      <c r="H128" s="237">
        <f>C_Financier!H15+SUMIFS(H$6:H$31,$N$6:$N$31,$B128)</f>
        <v>13483</v>
      </c>
      <c r="I128" s="237">
        <f>C_Financier!I15+SUMIFS(I$6:I$31,$N$6:$N$31,$B128)</f>
        <v>14051</v>
      </c>
      <c r="J128" s="238">
        <f t="shared" si="53"/>
        <v>6.0382168976300443</v>
      </c>
      <c r="K128" s="12"/>
      <c r="L128" s="138"/>
      <c r="M128" s="12"/>
      <c r="N128" s="12"/>
      <c r="O128" s="228"/>
      <c r="P128" s="12"/>
      <c r="Q128" s="12"/>
      <c r="R128" s="12"/>
      <c r="S128" s="12"/>
      <c r="T128" s="12"/>
      <c r="U128" s="12"/>
      <c r="V128" s="12"/>
      <c r="W128" s="228"/>
      <c r="X128" s="228"/>
      <c r="Y128" s="12"/>
      <c r="Z128" s="12"/>
    </row>
    <row r="129" spans="1:26" ht="12.75" customHeight="1" outlineLevel="1" x14ac:dyDescent="0.15">
      <c r="A129" s="12"/>
      <c r="B129" s="236" t="str">
        <f>$A$311</f>
        <v>Entreprises du gouvernement</v>
      </c>
      <c r="C129" s="239">
        <f>C_Financier!C16</f>
        <v>4491</v>
      </c>
      <c r="D129" s="239">
        <f>C_Financier!D16</f>
        <v>5967</v>
      </c>
      <c r="E129" s="240">
        <f>C_Financier!E16+SUMIFS(E$6:E$31,$N$6:$N$31,$B129)</f>
        <v>6207</v>
      </c>
      <c r="F129" s="240">
        <f>C_Financier!F16+SUMIFS(F$6:F$31,$N$6:$N$31,$B129)</f>
        <v>6688</v>
      </c>
      <c r="G129" s="240">
        <f>C_Financier!G16+SUMIFS(G$6:G$31,$N$6:$N$31,$B129)</f>
        <v>7040</v>
      </c>
      <c r="H129" s="240">
        <f>C_Financier!H16+SUMIFS(H$6:H$31,$N$6:$N$31,$B129)</f>
        <v>6713</v>
      </c>
      <c r="I129" s="240">
        <f>C_Financier!I16+SUMIFS(I$6:I$31,$N$6:$N$31,$B129)</f>
        <v>6994</v>
      </c>
      <c r="J129" s="241">
        <f t="shared" si="53"/>
        <v>7.6623269465297073</v>
      </c>
      <c r="K129" s="12"/>
      <c r="L129" s="138"/>
      <c r="M129" s="12"/>
      <c r="N129" s="12"/>
      <c r="O129" s="228"/>
      <c r="P129" s="12"/>
      <c r="Q129" s="12"/>
      <c r="R129" s="12"/>
      <c r="S129" s="12"/>
      <c r="T129" s="12"/>
      <c r="U129" s="12"/>
      <c r="V129" s="12"/>
      <c r="W129" s="228"/>
      <c r="X129" s="228"/>
      <c r="Y129" s="12"/>
      <c r="Z129" s="12"/>
    </row>
    <row r="130" spans="1:26" ht="12.75" customHeight="1" outlineLevel="1" x14ac:dyDescent="0.15">
      <c r="A130" s="12"/>
      <c r="B130" s="242" t="s">
        <v>35</v>
      </c>
      <c r="C130" s="243">
        <f t="shared" ref="C130:I130" si="54">SUM(C122:C129)</f>
        <v>91868</v>
      </c>
      <c r="D130" s="243">
        <f t="shared" si="54"/>
        <v>110251</v>
      </c>
      <c r="E130" s="243">
        <f t="shared" si="54"/>
        <v>115849.625</v>
      </c>
      <c r="F130" s="243">
        <f t="shared" si="54"/>
        <v>121105.97750000001</v>
      </c>
      <c r="G130" s="243">
        <f t="shared" si="54"/>
        <v>126328.45799999998</v>
      </c>
      <c r="H130" s="243">
        <f t="shared" si="54"/>
        <v>130424.96302499999</v>
      </c>
      <c r="I130" s="243">
        <f t="shared" si="54"/>
        <v>134917.54658875</v>
      </c>
      <c r="J130" s="244"/>
      <c r="K130" s="12"/>
      <c r="L130" s="138"/>
      <c r="M130" s="12"/>
      <c r="N130" s="12"/>
      <c r="O130" s="228"/>
      <c r="P130" s="12"/>
      <c r="Q130" s="12"/>
      <c r="R130" s="12"/>
      <c r="S130" s="12"/>
      <c r="T130" s="12"/>
      <c r="U130" s="12"/>
      <c r="V130" s="12"/>
      <c r="W130" s="228"/>
      <c r="X130" s="228"/>
      <c r="Y130" s="12"/>
      <c r="Z130" s="12"/>
    </row>
    <row r="131" spans="1:26" ht="12.75" customHeight="1" outlineLevel="1" x14ac:dyDescent="0.15">
      <c r="A131" s="12"/>
      <c r="B131" s="245" t="s">
        <v>36</v>
      </c>
      <c r="C131" s="246">
        <f>C_Financier!C19</f>
        <v>0</v>
      </c>
      <c r="D131" s="246">
        <f>C_Financier!D19</f>
        <v>20.010232072103463</v>
      </c>
      <c r="E131" s="246">
        <f t="shared" ref="E131:I131" si="55">(((E130-D130)/D130))*100</f>
        <v>5.0780718542235448</v>
      </c>
      <c r="F131" s="246">
        <f t="shared" si="55"/>
        <v>4.5372201247954047</v>
      </c>
      <c r="G131" s="246">
        <f t="shared" si="55"/>
        <v>4.3123226514562223</v>
      </c>
      <c r="H131" s="246">
        <f t="shared" si="55"/>
        <v>3.2427412554976378</v>
      </c>
      <c r="I131" s="246">
        <f t="shared" si="55"/>
        <v>3.4445733849959921</v>
      </c>
      <c r="J131" s="246">
        <f>IFERROR((POWER(I130/C130,1/6)-1)*100,"Erreur")</f>
        <v>6.6147670276589299</v>
      </c>
      <c r="K131" s="12"/>
      <c r="L131" s="138"/>
      <c r="M131" s="12"/>
      <c r="N131" s="12"/>
      <c r="O131" s="228"/>
      <c r="P131" s="12"/>
      <c r="Q131" s="12"/>
      <c r="R131" s="12"/>
      <c r="S131" s="12"/>
      <c r="T131" s="12"/>
      <c r="U131" s="12"/>
      <c r="V131" s="12"/>
      <c r="W131" s="228"/>
      <c r="X131" s="228"/>
      <c r="Y131" s="12"/>
      <c r="Z131" s="12"/>
    </row>
    <row r="132" spans="1:26" ht="12.75" customHeight="1" outlineLevel="1" x14ac:dyDescent="0.15">
      <c r="A132" s="12"/>
      <c r="B132" s="247" t="str">
        <f>$A$312</f>
        <v>Transferts fédéraux</v>
      </c>
      <c r="C132" s="248">
        <f>C_Financier!C21</f>
        <v>30716</v>
      </c>
      <c r="D132" s="248">
        <f>C_Financier!D21</f>
        <v>29141</v>
      </c>
      <c r="E132" s="248">
        <f>C_Financier!E21+SUMIFS(E$14:E$31,$N$14:$N$31,$B132)</f>
        <v>29600</v>
      </c>
      <c r="F132" s="248">
        <f>C_Financier!F21+SUMIFS(F$14:F$31,$N$14:$N$31,$B132)</f>
        <v>29631</v>
      </c>
      <c r="G132" s="248">
        <f>C_Financier!G21+SUMIFS(G$14:G$31,$N$14:$N$31,$B132)</f>
        <v>29921</v>
      </c>
      <c r="H132" s="248">
        <f>C_Financier!H21+SUMIFS(H$14:H$31,$N$14:$N$31,$B132)</f>
        <v>31813</v>
      </c>
      <c r="I132" s="248">
        <f>C_Financier!I21+SUMIFS(I$14:I$31,$N$14:$N$31,$B132)</f>
        <v>32345</v>
      </c>
      <c r="J132" s="249"/>
      <c r="K132" s="12"/>
      <c r="L132" s="138"/>
      <c r="M132" s="12"/>
      <c r="N132" s="12"/>
      <c r="O132" s="228"/>
      <c r="P132" s="12"/>
      <c r="Q132" s="12"/>
      <c r="R132" s="12"/>
      <c r="S132" s="12"/>
      <c r="T132" s="12"/>
      <c r="U132" s="12"/>
      <c r="V132" s="12"/>
      <c r="W132" s="228"/>
      <c r="X132" s="228"/>
      <c r="Y132" s="12"/>
      <c r="Z132" s="12"/>
    </row>
    <row r="133" spans="1:26" ht="12.75" customHeight="1" outlineLevel="1" x14ac:dyDescent="0.15">
      <c r="A133" s="12"/>
      <c r="B133" s="250" t="s">
        <v>36</v>
      </c>
      <c r="C133" s="251">
        <f>C_Financier!C22</f>
        <v>0</v>
      </c>
      <c r="D133" s="251">
        <f>C_Financier!D22</f>
        <v>-5.127620783956246</v>
      </c>
      <c r="E133" s="251">
        <f t="shared" ref="E133:I133" si="56">(((E132-D132)/D132))*100</f>
        <v>1.5751003740434439</v>
      </c>
      <c r="F133" s="251">
        <f t="shared" si="56"/>
        <v>0.10472972972972973</v>
      </c>
      <c r="G133" s="251">
        <f t="shared" si="56"/>
        <v>0.97870473490601051</v>
      </c>
      <c r="H133" s="251">
        <f t="shared" si="56"/>
        <v>6.3233180709200889</v>
      </c>
      <c r="I133" s="251">
        <f t="shared" si="56"/>
        <v>1.6722723414956151</v>
      </c>
      <c r="J133" s="251">
        <f>IFERROR((POWER(I132/C132,1/6)-1)*100,"Erreur")</f>
        <v>0.86498217107586761</v>
      </c>
      <c r="K133" s="12"/>
      <c r="L133" s="138"/>
      <c r="M133" s="12"/>
      <c r="N133" s="12"/>
      <c r="O133" s="228"/>
      <c r="P133" s="12"/>
      <c r="Q133" s="12"/>
      <c r="R133" s="12"/>
      <c r="S133" s="12"/>
      <c r="T133" s="12"/>
      <c r="U133" s="12"/>
      <c r="V133" s="12"/>
      <c r="W133" s="228"/>
      <c r="X133" s="228"/>
      <c r="Y133" s="12"/>
      <c r="Z133" s="12"/>
    </row>
    <row r="134" spans="1:26" ht="7.5" customHeight="1" x14ac:dyDescent="0.15">
      <c r="A134" s="12"/>
      <c r="B134" s="12"/>
      <c r="C134" s="12"/>
      <c r="D134" s="12"/>
      <c r="E134" s="12"/>
      <c r="F134" s="12"/>
      <c r="G134" s="12"/>
      <c r="H134" s="12"/>
      <c r="I134" s="12"/>
      <c r="J134" s="211"/>
      <c r="K134" s="12"/>
      <c r="L134" s="138"/>
      <c r="M134" s="12"/>
      <c r="N134" s="12"/>
      <c r="O134" s="228"/>
      <c r="P134" s="12"/>
      <c r="Q134" s="12"/>
      <c r="R134" s="12"/>
      <c r="S134" s="12"/>
      <c r="T134" s="12"/>
      <c r="U134" s="12"/>
      <c r="V134" s="12"/>
      <c r="W134" s="228"/>
      <c r="X134" s="228"/>
      <c r="Y134" s="12"/>
      <c r="Z134" s="12"/>
    </row>
    <row r="135" spans="1:26" ht="12.75" customHeight="1" x14ac:dyDescent="0.15">
      <c r="A135" s="12"/>
      <c r="B135" s="50" t="s">
        <v>218</v>
      </c>
      <c r="C135" s="252">
        <f t="shared" ref="C135:I135" si="57">C157+C159</f>
        <v>-113815.00000000003</v>
      </c>
      <c r="D135" s="252">
        <f t="shared" si="57"/>
        <v>-126891</v>
      </c>
      <c r="E135" s="252">
        <f t="shared" si="57"/>
        <v>-145242.6</v>
      </c>
      <c r="F135" s="252">
        <f t="shared" si="57"/>
        <v>-148511.4975</v>
      </c>
      <c r="G135" s="252">
        <f t="shared" si="57"/>
        <v>-153780.74993749999</v>
      </c>
      <c r="H135" s="252">
        <f t="shared" si="57"/>
        <v>-160211.5111859375</v>
      </c>
      <c r="I135" s="252">
        <f t="shared" si="57"/>
        <v>-165809.11493871093</v>
      </c>
      <c r="J135" s="211"/>
      <c r="K135" s="12"/>
      <c r="L135" s="138"/>
      <c r="M135" s="12"/>
      <c r="N135" s="12"/>
      <c r="O135" s="228"/>
      <c r="P135" s="12"/>
      <c r="Q135" s="12"/>
      <c r="R135" s="12"/>
      <c r="S135" s="12"/>
      <c r="T135" s="12"/>
      <c r="U135" s="12"/>
      <c r="V135" s="12"/>
      <c r="W135" s="228"/>
      <c r="X135" s="228"/>
      <c r="Y135" s="12"/>
      <c r="Z135" s="12"/>
    </row>
    <row r="136" spans="1:26" ht="12.75" customHeight="1" x14ac:dyDescent="0.15">
      <c r="A136" s="12"/>
      <c r="B136" s="70" t="s">
        <v>36</v>
      </c>
      <c r="C136" s="70"/>
      <c r="D136" s="56">
        <f>C_Financier!D54</f>
        <v>11.48881957562709</v>
      </c>
      <c r="E136" s="56">
        <f t="shared" ref="E136:I136" si="58">(((E135-D135)/D135))*100</f>
        <v>14.462491429652225</v>
      </c>
      <c r="F136" s="56">
        <f t="shared" si="58"/>
        <v>2.2506465045379191</v>
      </c>
      <c r="G136" s="56">
        <f t="shared" si="58"/>
        <v>3.548043435155579</v>
      </c>
      <c r="H136" s="56">
        <f t="shared" si="58"/>
        <v>4.1817725892552362</v>
      </c>
      <c r="I136" s="56">
        <f t="shared" si="58"/>
        <v>3.4938836238034043</v>
      </c>
      <c r="J136" s="56">
        <f>IFERROR((POWER(I135/C135,1/6)-1)*100,"Erreur")</f>
        <v>6.4718539687595555</v>
      </c>
      <c r="K136" s="12"/>
      <c r="L136" s="138"/>
      <c r="M136" s="12"/>
      <c r="N136" s="12"/>
      <c r="O136" s="228"/>
      <c r="P136" s="12"/>
      <c r="Q136" s="12"/>
      <c r="R136" s="12"/>
      <c r="S136" s="12"/>
      <c r="T136" s="12"/>
      <c r="U136" s="12"/>
      <c r="V136" s="12"/>
      <c r="W136" s="228"/>
      <c r="X136" s="228"/>
      <c r="Y136" s="12"/>
      <c r="Z136" s="12"/>
    </row>
    <row r="137" spans="1:26" ht="12.75" customHeight="1" outlineLevel="1" x14ac:dyDescent="0.15">
      <c r="A137" s="12"/>
      <c r="B137" s="253" t="str">
        <f>$A$289</f>
        <v>Santé et services sociaux</v>
      </c>
      <c r="C137" s="254">
        <f>C_Financier!C27</f>
        <v>-46529.4</v>
      </c>
      <c r="D137" s="254">
        <f>C_Financier!D27</f>
        <v>-50415.8</v>
      </c>
      <c r="E137" s="254">
        <f>C_Financier!E27+SUMIFS(E$36:E$86,$N$36:$N$86,$B137)</f>
        <v>-60839.4</v>
      </c>
      <c r="F137" s="254">
        <f>C_Financier!F27+SUMIFS(F$36:F$86,$N$36:$N$86,$B137)</f>
        <v>-58710</v>
      </c>
      <c r="G137" s="254">
        <f>C_Financier!G27+SUMIFS(G$36:G$86,$N$36:$N$86,$B137)</f>
        <v>-61350.125</v>
      </c>
      <c r="H137" s="254"/>
      <c r="I137" s="254"/>
      <c r="J137" s="255"/>
      <c r="K137" s="12"/>
      <c r="L137" s="138"/>
      <c r="M137" s="12"/>
      <c r="N137" s="12"/>
      <c r="O137" s="228"/>
      <c r="P137" s="12"/>
      <c r="Q137" s="12"/>
      <c r="R137" s="12"/>
      <c r="S137" s="12"/>
      <c r="T137" s="12"/>
      <c r="U137" s="12"/>
      <c r="V137" s="12"/>
      <c r="W137" s="228"/>
      <c r="X137" s="228"/>
      <c r="Y137" s="12"/>
      <c r="Z137" s="12"/>
    </row>
    <row r="138" spans="1:26" ht="12.75" customHeight="1" outlineLevel="1" x14ac:dyDescent="0.15">
      <c r="A138" s="12"/>
      <c r="B138" s="256" t="s">
        <v>36</v>
      </c>
      <c r="C138" s="256"/>
      <c r="D138" s="257">
        <f>IFERROR(C_Financier!D28,0)</f>
        <v>8.3525684835824308</v>
      </c>
      <c r="E138" s="257">
        <f t="shared" ref="E138:G138" si="59">IFERROR((E137)/(D137)*100-100,0)</f>
        <v>20.675264500414542</v>
      </c>
      <c r="F138" s="257">
        <f t="shared" si="59"/>
        <v>-3.5000345171057035</v>
      </c>
      <c r="G138" s="257">
        <f t="shared" si="59"/>
        <v>4.4968915005961492</v>
      </c>
      <c r="H138" s="258"/>
      <c r="I138" s="258"/>
      <c r="J138" s="259"/>
      <c r="K138" s="12"/>
      <c r="L138" s="138"/>
      <c r="M138" s="12"/>
      <c r="N138" s="12"/>
      <c r="O138" s="228"/>
      <c r="P138" s="12"/>
      <c r="Q138" s="12"/>
      <c r="R138" s="12"/>
      <c r="S138" s="12"/>
      <c r="T138" s="12"/>
      <c r="U138" s="12"/>
      <c r="V138" s="12"/>
      <c r="W138" s="228"/>
      <c r="X138" s="228"/>
      <c r="Y138" s="12"/>
      <c r="Z138" s="12"/>
    </row>
    <row r="139" spans="1:26" ht="12.75" customHeight="1" outlineLevel="1" x14ac:dyDescent="0.15">
      <c r="A139" s="12"/>
      <c r="B139" s="260" t="str">
        <f>$A$290</f>
        <v>Éducation</v>
      </c>
      <c r="C139" s="261">
        <f>C_Financier!C29</f>
        <v>-16566.400000000001</v>
      </c>
      <c r="D139" s="261">
        <f>C_Financier!D29</f>
        <v>-17655.5</v>
      </c>
      <c r="E139" s="261">
        <f>C_Financier!E29+SUMIFS(E$36:E$86,$N$36:$N$86,$B139)</f>
        <v>-19202.599999999999</v>
      </c>
      <c r="F139" s="261">
        <f>C_Financier!F29+SUMIFS(F$36:F$86,$N$36:$N$86,$B139)</f>
        <v>-20382.8</v>
      </c>
      <c r="G139" s="261">
        <f>C_Financier!G29+SUMIFS(G$36:G$86,$N$36:$N$86,$B139)</f>
        <v>-21090.31</v>
      </c>
      <c r="H139" s="259"/>
      <c r="I139" s="259"/>
      <c r="J139" s="259"/>
      <c r="K139" s="12"/>
      <c r="L139" s="138"/>
      <c r="M139" s="12"/>
      <c r="N139" s="12"/>
      <c r="O139" s="228"/>
      <c r="P139" s="12"/>
      <c r="Q139" s="12"/>
      <c r="R139" s="12"/>
      <c r="S139" s="12"/>
      <c r="T139" s="12"/>
      <c r="U139" s="12"/>
      <c r="V139" s="12"/>
      <c r="W139" s="228"/>
      <c r="X139" s="228"/>
      <c r="Y139" s="12"/>
      <c r="Z139" s="12"/>
    </row>
    <row r="140" spans="1:26" ht="12.75" customHeight="1" outlineLevel="1" x14ac:dyDescent="0.15">
      <c r="A140" s="12"/>
      <c r="B140" s="256" t="s">
        <v>36</v>
      </c>
      <c r="C140" s="256"/>
      <c r="D140" s="257">
        <f>C_Financier!D30</f>
        <v>6.574150086922927</v>
      </c>
      <c r="E140" s="257">
        <f t="shared" ref="E140:G140" si="60">(E139)/(D139)*100-100</f>
        <v>8.762708504432041</v>
      </c>
      <c r="F140" s="257">
        <f t="shared" si="60"/>
        <v>6.146042723381214</v>
      </c>
      <c r="G140" s="257">
        <f t="shared" si="60"/>
        <v>3.4711128991110201</v>
      </c>
      <c r="H140" s="258"/>
      <c r="I140" s="258"/>
      <c r="J140" s="259"/>
      <c r="K140" s="262"/>
      <c r="L140" s="138"/>
      <c r="M140" s="12"/>
      <c r="N140" s="12"/>
      <c r="O140" s="228"/>
      <c r="P140" s="12"/>
      <c r="Q140" s="12"/>
      <c r="R140" s="12"/>
      <c r="S140" s="12"/>
      <c r="T140" s="12"/>
      <c r="U140" s="12"/>
      <c r="V140" s="12"/>
      <c r="W140" s="228"/>
      <c r="X140" s="228"/>
      <c r="Y140" s="12"/>
      <c r="Z140" s="12"/>
    </row>
    <row r="141" spans="1:26" ht="12.75" customHeight="1" outlineLevel="1" x14ac:dyDescent="0.15">
      <c r="A141" s="12"/>
      <c r="B141" s="260" t="str">
        <f>$A$291</f>
        <v>Enseignement supérieur</v>
      </c>
      <c r="C141" s="261">
        <f>C_Financier!C31</f>
        <v>-8278.2999999999993</v>
      </c>
      <c r="D141" s="261">
        <f>C_Financier!D31</f>
        <v>-8517.9</v>
      </c>
      <c r="E141" s="261">
        <f>C_Financier!E31+SUMIFS(E$36:E$86,$N$36:$N$86,$B141)</f>
        <v>-10231</v>
      </c>
      <c r="F141" s="261">
        <f>C_Financier!F31+SUMIFS(F$36:F$86,$N$36:$N$86,$B141)</f>
        <v>-10767</v>
      </c>
      <c r="G141" s="261">
        <f>C_Financier!G31+SUMIFS(G$36:G$86,$N$36:$N$86,$B141)</f>
        <v>-11118.25</v>
      </c>
      <c r="H141" s="259"/>
      <c r="I141" s="259"/>
      <c r="J141" s="259"/>
      <c r="K141" s="12"/>
      <c r="L141" s="138"/>
      <c r="M141" s="12"/>
      <c r="N141" s="12"/>
      <c r="O141" s="228"/>
      <c r="P141" s="12"/>
      <c r="Q141" s="12"/>
      <c r="R141" s="12"/>
      <c r="S141" s="12"/>
      <c r="T141" s="12"/>
      <c r="U141" s="12"/>
      <c r="V141" s="12"/>
      <c r="W141" s="228"/>
      <c r="X141" s="228"/>
      <c r="Y141" s="12"/>
      <c r="Z141" s="12"/>
    </row>
    <row r="142" spans="1:26" ht="12.75" customHeight="1" outlineLevel="1" x14ac:dyDescent="0.15">
      <c r="A142" s="12"/>
      <c r="B142" s="256" t="s">
        <v>36</v>
      </c>
      <c r="C142" s="256"/>
      <c r="D142" s="257">
        <f>C_Financier!D32</f>
        <v>2.8943140499861073</v>
      </c>
      <c r="E142" s="257">
        <f t="shared" ref="E142:G142" si="61">(E141)/(D141)*100-100</f>
        <v>20.111764636823622</v>
      </c>
      <c r="F142" s="257">
        <f t="shared" si="61"/>
        <v>5.2389795718893453</v>
      </c>
      <c r="G142" s="257">
        <f t="shared" si="61"/>
        <v>3.262282901458164</v>
      </c>
      <c r="H142" s="258"/>
      <c r="I142" s="258"/>
      <c r="J142" s="259"/>
      <c r="K142" s="262"/>
      <c r="L142" s="138"/>
      <c r="M142" s="12"/>
      <c r="N142" s="12"/>
      <c r="O142" s="228"/>
      <c r="P142" s="12"/>
      <c r="Q142" s="12"/>
      <c r="R142" s="12"/>
      <c r="S142" s="12"/>
      <c r="T142" s="12"/>
      <c r="U142" s="12"/>
      <c r="V142" s="12"/>
      <c r="W142" s="228"/>
      <c r="X142" s="228"/>
      <c r="Y142" s="12"/>
      <c r="Z142" s="12"/>
    </row>
    <row r="143" spans="1:26" ht="15" customHeight="1" outlineLevel="1" x14ac:dyDescent="0.15">
      <c r="A143" s="12"/>
      <c r="B143" s="260" t="str">
        <f>$A$292</f>
        <v>Famille</v>
      </c>
      <c r="C143" s="261">
        <f>C_Financier!C33</f>
        <v>-6680.3</v>
      </c>
      <c r="D143" s="261">
        <f>C_Financier!D33</f>
        <v>-7418</v>
      </c>
      <c r="E143" s="261">
        <f>C_Financier!E33+SUMIFS(E$36:E$86,$N$36:$N$86,$B143)</f>
        <v>-8060</v>
      </c>
      <c r="F143" s="261">
        <f>C_Financier!F33+SUMIFS(F$36:F$86,$N$36:$N$86,$B143)</f>
        <v>-8561</v>
      </c>
      <c r="G143" s="261">
        <f>C_Financier!G33+SUMIFS(G$36:G$86,$N$36:$N$86,$B143)</f>
        <v>-8837</v>
      </c>
      <c r="H143" s="259"/>
      <c r="I143" s="259"/>
      <c r="J143" s="259"/>
      <c r="K143" s="12"/>
      <c r="L143" s="138"/>
      <c r="M143" s="12"/>
      <c r="N143" s="12"/>
      <c r="O143" s="228"/>
      <c r="P143" s="12"/>
      <c r="Q143" s="12"/>
      <c r="R143" s="12"/>
      <c r="S143" s="12"/>
      <c r="T143" s="12"/>
      <c r="U143" s="12"/>
      <c r="V143" s="12"/>
      <c r="W143" s="228"/>
      <c r="X143" s="228"/>
      <c r="Y143" s="12"/>
      <c r="Z143" s="12"/>
    </row>
    <row r="144" spans="1:26" ht="12.75" customHeight="1" outlineLevel="1" x14ac:dyDescent="0.15">
      <c r="A144" s="12"/>
      <c r="B144" s="256" t="s">
        <v>36</v>
      </c>
      <c r="C144" s="256"/>
      <c r="D144" s="257">
        <f>C_Financier!D34</f>
        <v>11.042917234255938</v>
      </c>
      <c r="E144" s="257">
        <f t="shared" ref="E144:G144" si="62">(E143)/(D143)*100-100</f>
        <v>8.6546238878404012</v>
      </c>
      <c r="F144" s="257">
        <f t="shared" si="62"/>
        <v>6.2158808933002518</v>
      </c>
      <c r="G144" s="257">
        <f t="shared" si="62"/>
        <v>3.2239224389674064</v>
      </c>
      <c r="H144" s="258"/>
      <c r="I144" s="258"/>
      <c r="J144" s="259"/>
      <c r="K144" s="12"/>
      <c r="L144" s="138"/>
      <c r="M144" s="12"/>
      <c r="N144" s="12"/>
      <c r="O144" s="228"/>
      <c r="P144" s="12"/>
      <c r="Q144" s="12"/>
      <c r="R144" s="12"/>
      <c r="S144" s="12"/>
      <c r="T144" s="12"/>
      <c r="U144" s="12"/>
      <c r="V144" s="12"/>
      <c r="W144" s="228"/>
      <c r="X144" s="228"/>
      <c r="Y144" s="12"/>
      <c r="Z144" s="12"/>
    </row>
    <row r="145" spans="1:26" ht="12.75" customHeight="1" outlineLevel="1" x14ac:dyDescent="0.15">
      <c r="A145" s="12"/>
      <c r="B145" s="260" t="str">
        <f>$A$293</f>
        <v>Transports</v>
      </c>
      <c r="C145" s="261">
        <f>C_Financier!C35</f>
        <v>-5202.8</v>
      </c>
      <c r="D145" s="261">
        <f>C_Financier!D35</f>
        <v>-6858.1</v>
      </c>
      <c r="E145" s="261">
        <f>C_Financier!E35+SUMIFS(E$36:E$86,$N$36:$N$86,$B145)</f>
        <v>-6775.7</v>
      </c>
      <c r="F145" s="261">
        <f>C_Financier!F35+SUMIFS(F$36:F$86,$N$36:$N$86,$B145)</f>
        <v>-7086</v>
      </c>
      <c r="G145" s="261">
        <f>C_Financier!G35+SUMIFS(G$36:G$86,$N$36:$N$86,$B145)</f>
        <v>-8406</v>
      </c>
      <c r="H145" s="259"/>
      <c r="I145" s="259"/>
      <c r="J145" s="259"/>
      <c r="K145" s="12"/>
      <c r="L145" s="138"/>
      <c r="M145" s="12"/>
      <c r="N145" s="12"/>
      <c r="O145" s="228"/>
      <c r="P145" s="12"/>
      <c r="Q145" s="12"/>
      <c r="R145" s="12"/>
      <c r="S145" s="12"/>
      <c r="T145" s="12"/>
      <c r="U145" s="12"/>
      <c r="V145" s="12"/>
      <c r="W145" s="228"/>
      <c r="X145" s="228"/>
      <c r="Y145" s="12"/>
      <c r="Z145" s="12"/>
    </row>
    <row r="146" spans="1:26" ht="12.75" customHeight="1" outlineLevel="1" x14ac:dyDescent="0.15">
      <c r="A146" s="12"/>
      <c r="B146" s="256" t="s">
        <v>36</v>
      </c>
      <c r="C146" s="256"/>
      <c r="D146" s="257">
        <f>C_Financier!D36</f>
        <v>31.815560851849</v>
      </c>
      <c r="E146" s="257">
        <f t="shared" ref="E146:G146" si="63">(E145)/(D145)*100-100</f>
        <v>-1.2014989574371953</v>
      </c>
      <c r="F146" s="257">
        <f t="shared" si="63"/>
        <v>4.5796006316690523</v>
      </c>
      <c r="G146" s="257">
        <f t="shared" si="63"/>
        <v>18.628281117696872</v>
      </c>
      <c r="H146" s="258"/>
      <c r="I146" s="258"/>
      <c r="J146" s="259"/>
      <c r="K146" s="12"/>
      <c r="L146" s="138"/>
      <c r="M146" s="12"/>
      <c r="N146" s="12"/>
      <c r="O146" s="228"/>
      <c r="P146" s="12"/>
      <c r="Q146" s="12"/>
      <c r="R146" s="12"/>
      <c r="S146" s="12"/>
      <c r="T146" s="12"/>
      <c r="U146" s="12"/>
      <c r="V146" s="12"/>
      <c r="W146" s="228"/>
      <c r="X146" s="228"/>
      <c r="Y146" s="12"/>
      <c r="Z146" s="12"/>
    </row>
    <row r="147" spans="1:26" ht="12.75" customHeight="1" outlineLevel="1" x14ac:dyDescent="0.15">
      <c r="A147" s="12"/>
      <c r="B147" s="260" t="str">
        <f>$A$294</f>
        <v>Travail, Emploi et Solidarité sociale</v>
      </c>
      <c r="C147" s="261">
        <f>C_Financier!C37</f>
        <v>-4771.6000000000004</v>
      </c>
      <c r="D147" s="261">
        <f>C_Financier!D37</f>
        <v>-8727.9</v>
      </c>
      <c r="E147" s="261">
        <f>C_Financier!E37+SUMIFS(E$36:E$86,$N$36:$N$86,$B147)</f>
        <v>-5766.7</v>
      </c>
      <c r="F147" s="261">
        <f>C_Financier!F37+SUMIFS(F$36:F$86,$N$36:$N$86,$B147)</f>
        <v>-6041</v>
      </c>
      <c r="G147" s="261">
        <f>C_Financier!G37+SUMIFS(G$36:G$86,$N$36:$N$86,$B147)</f>
        <v>-6018.25</v>
      </c>
      <c r="H147" s="259"/>
      <c r="I147" s="259"/>
      <c r="J147" s="259"/>
      <c r="K147" s="12"/>
      <c r="L147" s="138"/>
      <c r="M147" s="12"/>
      <c r="N147" s="12"/>
      <c r="O147" s="228"/>
      <c r="P147" s="12"/>
      <c r="Q147" s="12"/>
      <c r="R147" s="12"/>
      <c r="S147" s="12"/>
      <c r="T147" s="12"/>
      <c r="U147" s="12"/>
      <c r="V147" s="12"/>
      <c r="W147" s="228"/>
      <c r="X147" s="228"/>
      <c r="Y147" s="12"/>
      <c r="Z147" s="12"/>
    </row>
    <row r="148" spans="1:26" ht="12.75" customHeight="1" outlineLevel="1" x14ac:dyDescent="0.15">
      <c r="A148" s="12"/>
      <c r="B148" s="256" t="s">
        <v>36</v>
      </c>
      <c r="C148" s="256"/>
      <c r="D148" s="257">
        <f>C_Financier!D38</f>
        <v>82.913488138150683</v>
      </c>
      <c r="E148" s="257">
        <f t="shared" ref="E148:G148" si="64">(E147)/(D147)*100-100</f>
        <v>-33.927978093241222</v>
      </c>
      <c r="F148" s="257">
        <f t="shared" si="64"/>
        <v>4.7566199039311954</v>
      </c>
      <c r="G148" s="257">
        <f t="shared" si="64"/>
        <v>-0.37659327925840103</v>
      </c>
      <c r="H148" s="258"/>
      <c r="I148" s="258"/>
      <c r="J148" s="259"/>
      <c r="K148" s="12"/>
      <c r="L148" s="138"/>
      <c r="M148" s="12"/>
      <c r="N148" s="12"/>
      <c r="O148" s="228"/>
      <c r="P148" s="12"/>
      <c r="Q148" s="12"/>
      <c r="R148" s="12"/>
      <c r="S148" s="12"/>
      <c r="T148" s="12"/>
      <c r="U148" s="12"/>
      <c r="V148" s="12"/>
      <c r="W148" s="228"/>
      <c r="X148" s="228"/>
      <c r="Y148" s="12"/>
      <c r="Z148" s="12"/>
    </row>
    <row r="149" spans="1:26" ht="12.75" customHeight="1" outlineLevel="1" x14ac:dyDescent="0.15">
      <c r="A149" s="12"/>
      <c r="B149" s="260" t="str">
        <f>$A$295</f>
        <v>Affaires municipales et Habitation</v>
      </c>
      <c r="C149" s="261">
        <f>C_Financier!C39</f>
        <v>-3083.6</v>
      </c>
      <c r="D149" s="261">
        <f>C_Financier!D39</f>
        <v>-3609</v>
      </c>
      <c r="E149" s="261">
        <f>C_Financier!E39+SUMIFS(E$36:E$86,$N$36:$N$86,$B149)</f>
        <v>-4399</v>
      </c>
      <c r="F149" s="261">
        <f>C_Financier!F39+SUMIFS(F$36:F$86,$N$36:$N$86,$B149)</f>
        <v>-5223</v>
      </c>
      <c r="G149" s="261">
        <f>C_Financier!G39+SUMIFS(G$36:G$86,$N$36:$N$86,$B149)</f>
        <v>-5273.15</v>
      </c>
      <c r="H149" s="259"/>
      <c r="I149" s="259"/>
      <c r="J149" s="259"/>
      <c r="K149" s="12"/>
      <c r="L149" s="138"/>
      <c r="M149" s="12"/>
      <c r="N149" s="12"/>
      <c r="O149" s="228"/>
      <c r="P149" s="12"/>
      <c r="Q149" s="12"/>
      <c r="R149" s="12"/>
      <c r="S149" s="12"/>
      <c r="T149" s="12"/>
      <c r="U149" s="12"/>
      <c r="V149" s="12"/>
      <c r="W149" s="228"/>
      <c r="X149" s="228"/>
      <c r="Y149" s="12"/>
      <c r="Z149" s="12"/>
    </row>
    <row r="150" spans="1:26" ht="12.75" customHeight="1" outlineLevel="1" x14ac:dyDescent="0.15">
      <c r="A150" s="12"/>
      <c r="B150" s="256" t="s">
        <v>36</v>
      </c>
      <c r="C150" s="256"/>
      <c r="D150" s="257">
        <f>C_Financier!D40</f>
        <v>17.038526397716964</v>
      </c>
      <c r="E150" s="257">
        <f t="shared" ref="E150:G150" si="65">(E149)/(D149)*100-100</f>
        <v>21.889720144084237</v>
      </c>
      <c r="F150" s="257">
        <f t="shared" si="65"/>
        <v>18.731529893157543</v>
      </c>
      <c r="G150" s="257">
        <f t="shared" si="65"/>
        <v>0.96017614397854345</v>
      </c>
      <c r="H150" s="258"/>
      <c r="I150" s="258"/>
      <c r="J150" s="259"/>
      <c r="K150" s="12"/>
      <c r="L150" s="138"/>
      <c r="M150" s="12"/>
      <c r="N150" s="12"/>
      <c r="O150" s="228"/>
      <c r="P150" s="12"/>
      <c r="Q150" s="12"/>
      <c r="R150" s="12"/>
      <c r="S150" s="12"/>
      <c r="T150" s="12"/>
      <c r="U150" s="12"/>
      <c r="V150" s="12"/>
      <c r="W150" s="228"/>
      <c r="X150" s="228"/>
      <c r="Y150" s="12"/>
      <c r="Z150" s="12"/>
    </row>
    <row r="151" spans="1:26" ht="12.75" customHeight="1" outlineLevel="1" x14ac:dyDescent="0.15">
      <c r="A151" s="12"/>
      <c r="B151" s="260" t="str">
        <f>$A$296</f>
        <v>Économie et Innovation</v>
      </c>
      <c r="C151" s="261">
        <f>C_Financier!C41</f>
        <v>-2843</v>
      </c>
      <c r="D151" s="261">
        <f>C_Financier!D41</f>
        <v>-2574</v>
      </c>
      <c r="E151" s="261">
        <f>C_Financier!E41+SUMIFS(E$36:E$86,$N$36:$N$86,$B151)</f>
        <v>-3641.5</v>
      </c>
      <c r="F151" s="261">
        <f>C_Financier!F41+SUMIFS(F$36:F$86,$N$36:$N$86,$B151)</f>
        <v>-3321.5</v>
      </c>
      <c r="G151" s="261">
        <f>C_Financier!G41+SUMIFS(G$36:G$86,$N$36:$N$86,$B151)</f>
        <v>-3267</v>
      </c>
      <c r="H151" s="259"/>
      <c r="I151" s="259"/>
      <c r="J151" s="259"/>
      <c r="K151" s="12"/>
      <c r="L151" s="138"/>
      <c r="M151" s="12"/>
      <c r="N151" s="12"/>
      <c r="O151" s="228"/>
      <c r="P151" s="12"/>
      <c r="Q151" s="12"/>
      <c r="R151" s="12"/>
      <c r="S151" s="12"/>
      <c r="T151" s="12"/>
      <c r="U151" s="12"/>
      <c r="V151" s="12"/>
      <c r="W151" s="228"/>
      <c r="X151" s="228"/>
      <c r="Y151" s="12"/>
      <c r="Z151" s="12"/>
    </row>
    <row r="152" spans="1:26" ht="12.75" customHeight="1" outlineLevel="1" x14ac:dyDescent="0.15">
      <c r="A152" s="12"/>
      <c r="B152" s="256" t="s">
        <v>36</v>
      </c>
      <c r="C152" s="256"/>
      <c r="D152" s="257">
        <f>C_Financier!D42</f>
        <v>-9.461836088638762</v>
      </c>
      <c r="E152" s="257">
        <f t="shared" ref="E152:G152" si="66">(E151)/(D151)*100-100</f>
        <v>41.472416472416455</v>
      </c>
      <c r="F152" s="257">
        <f t="shared" si="66"/>
        <v>-8.7875875326101891</v>
      </c>
      <c r="G152" s="257">
        <f t="shared" si="66"/>
        <v>-1.6408249284961585</v>
      </c>
      <c r="H152" s="258"/>
      <c r="I152" s="258"/>
      <c r="J152" s="259"/>
      <c r="K152" s="12"/>
      <c r="L152" s="138"/>
      <c r="M152" s="12"/>
      <c r="N152" s="12"/>
      <c r="O152" s="228"/>
      <c r="P152" s="12"/>
      <c r="Q152" s="12"/>
      <c r="R152" s="12"/>
      <c r="S152" s="12"/>
      <c r="T152" s="12"/>
      <c r="U152" s="12"/>
      <c r="V152" s="12"/>
      <c r="W152" s="228"/>
      <c r="X152" s="228"/>
      <c r="Y152" s="12"/>
      <c r="Z152" s="12"/>
    </row>
    <row r="153" spans="1:26" ht="12.75" customHeight="1" outlineLevel="1" x14ac:dyDescent="0.15">
      <c r="A153" s="12"/>
      <c r="B153" s="260" t="str">
        <f>$A$297</f>
        <v>Environnement et Lutte contre les changements climatiques</v>
      </c>
      <c r="C153" s="261">
        <f>C_Financier!C43</f>
        <v>-1154</v>
      </c>
      <c r="D153" s="261">
        <f>C_Financier!D43</f>
        <v>-1850</v>
      </c>
      <c r="E153" s="261">
        <f>C_Financier!E43+SUMIFS(E$36:E$86,$N$36:$N$86,$B153)</f>
        <v>-2233</v>
      </c>
      <c r="F153" s="261">
        <f>C_Financier!F43+SUMIFS(F$36:F$86,$N$36:$N$86,$B153)</f>
        <v>-4688</v>
      </c>
      <c r="G153" s="261">
        <f>C_Financier!G43+SUMIFS(G$36:G$86,$N$36:$N$86,$B153)</f>
        <v>-4734.875</v>
      </c>
      <c r="H153" s="259"/>
      <c r="I153" s="259"/>
      <c r="J153" s="259"/>
      <c r="K153" s="12"/>
      <c r="L153" s="138"/>
      <c r="M153" s="12"/>
      <c r="N153" s="12"/>
      <c r="O153" s="228"/>
      <c r="P153" s="12"/>
      <c r="Q153" s="12"/>
      <c r="R153" s="12"/>
      <c r="S153" s="12"/>
      <c r="T153" s="12"/>
      <c r="U153" s="12"/>
      <c r="V153" s="12"/>
      <c r="W153" s="228"/>
      <c r="X153" s="228"/>
      <c r="Y153" s="12"/>
      <c r="Z153" s="12"/>
    </row>
    <row r="154" spans="1:26" ht="12.75" customHeight="1" outlineLevel="1" x14ac:dyDescent="0.15">
      <c r="A154" s="12"/>
      <c r="B154" s="256" t="s">
        <v>36</v>
      </c>
      <c r="C154" s="256"/>
      <c r="D154" s="257">
        <f>C_Financier!D44</f>
        <v>60.311958405545937</v>
      </c>
      <c r="E154" s="257">
        <f t="shared" ref="E154:G154" si="67">(E153)/(D153)*100-100</f>
        <v>20.702702702702709</v>
      </c>
      <c r="F154" s="257">
        <f t="shared" si="67"/>
        <v>109.94178235557547</v>
      </c>
      <c r="G154" s="257">
        <f t="shared" si="67"/>
        <v>0.99989334470988922</v>
      </c>
      <c r="H154" s="258"/>
      <c r="I154" s="258"/>
      <c r="J154" s="259"/>
      <c r="K154" s="12"/>
      <c r="L154" s="138"/>
      <c r="M154" s="12"/>
      <c r="N154" s="12"/>
      <c r="O154" s="228"/>
      <c r="P154" s="12"/>
      <c r="Q154" s="12"/>
      <c r="R154" s="12"/>
      <c r="S154" s="12"/>
      <c r="T154" s="12"/>
      <c r="U154" s="12"/>
      <c r="V154" s="12"/>
      <c r="W154" s="228"/>
      <c r="X154" s="228"/>
      <c r="Y154" s="12"/>
      <c r="Z154" s="12"/>
    </row>
    <row r="155" spans="1:26" ht="12.75" customHeight="1" outlineLevel="1" x14ac:dyDescent="0.15">
      <c r="A155" s="12"/>
      <c r="B155" s="263" t="s">
        <v>150</v>
      </c>
      <c r="C155" s="261">
        <f>C_Financier!C45</f>
        <v>-11016.600000000002</v>
      </c>
      <c r="D155" s="261">
        <f>C_Financier!D45</f>
        <v>-10645.8</v>
      </c>
      <c r="E155" s="261">
        <f>C_Financier!E45+SUMIFS(E$36:E$86,$N$36:$N$86,$B155)</f>
        <v>-13735.7</v>
      </c>
      <c r="F155" s="261">
        <f>C_Financier!F45+SUMIFS(F$36:F$86,$N$36:$N$86,$B155)</f>
        <v>-14583.1975</v>
      </c>
      <c r="G155" s="261">
        <f>C_Financier!G45+SUMIFS(G$36:G$86,$N$36:$N$86,$B155)</f>
        <v>-13668.7899375</v>
      </c>
      <c r="H155" s="259"/>
      <c r="I155" s="259"/>
      <c r="J155" s="259"/>
      <c r="K155" s="12"/>
      <c r="L155" s="138"/>
      <c r="M155" s="12"/>
      <c r="N155" s="12"/>
      <c r="O155" s="228"/>
      <c r="P155" s="12"/>
      <c r="Q155" s="12"/>
      <c r="R155" s="12"/>
      <c r="S155" s="12"/>
      <c r="T155" s="12"/>
      <c r="U155" s="12"/>
      <c r="V155" s="12"/>
      <c r="W155" s="228"/>
      <c r="X155" s="228"/>
      <c r="Y155" s="12"/>
      <c r="Z155" s="12"/>
    </row>
    <row r="156" spans="1:26" ht="12.75" customHeight="1" outlineLevel="1" x14ac:dyDescent="0.15">
      <c r="A156" s="12"/>
      <c r="B156" s="256" t="s">
        <v>36</v>
      </c>
      <c r="C156" s="256"/>
      <c r="D156" s="257">
        <f>C_Financier!D46</f>
        <v>-3.3658297478351074</v>
      </c>
      <c r="E156" s="257">
        <f t="shared" ref="E156:G156" si="68">(E155)/(D155)*100-100</f>
        <v>29.024591857821861</v>
      </c>
      <c r="F156" s="257">
        <f t="shared" si="68"/>
        <v>6.1700350182371437</v>
      </c>
      <c r="G156" s="257">
        <f t="shared" si="68"/>
        <v>-6.2702816889094493</v>
      </c>
      <c r="H156" s="258"/>
      <c r="I156" s="258"/>
      <c r="J156" s="259"/>
      <c r="K156" s="12"/>
      <c r="L156" s="138"/>
      <c r="M156" s="12"/>
      <c r="N156" s="12"/>
      <c r="O156" s="228"/>
      <c r="P156" s="12"/>
      <c r="Q156" s="12"/>
      <c r="R156" s="12"/>
      <c r="S156" s="12"/>
      <c r="T156" s="12"/>
      <c r="U156" s="12"/>
      <c r="V156" s="12"/>
      <c r="W156" s="228"/>
      <c r="X156" s="228"/>
      <c r="Y156" s="12"/>
      <c r="Z156" s="12"/>
    </row>
    <row r="157" spans="1:26" ht="12.75" customHeight="1" outlineLevel="1" x14ac:dyDescent="0.15">
      <c r="A157" s="12"/>
      <c r="B157" s="264" t="s">
        <v>50</v>
      </c>
      <c r="C157" s="265">
        <f t="shared" ref="C157:G157" si="69">C137+C139+C141+C143+C145+C147+C149+C151+C153+C155</f>
        <v>-106126.00000000003</v>
      </c>
      <c r="D157" s="265">
        <f t="shared" si="69"/>
        <v>-118272</v>
      </c>
      <c r="E157" s="265">
        <f t="shared" si="69"/>
        <v>-134884.6</v>
      </c>
      <c r="F157" s="265">
        <f t="shared" si="69"/>
        <v>-139363.4975</v>
      </c>
      <c r="G157" s="265">
        <f t="shared" si="69"/>
        <v>-143763.74993749999</v>
      </c>
      <c r="H157" s="265">
        <f>C_Financier!H48+H87</f>
        <v>-150084.5111859375</v>
      </c>
      <c r="I157" s="265">
        <f>C_Financier!I48+I87</f>
        <v>-154798.11493871093</v>
      </c>
      <c r="J157" s="265"/>
      <c r="K157" s="12"/>
      <c r="L157" s="138"/>
      <c r="M157" s="12"/>
      <c r="N157" s="12"/>
      <c r="O157" s="228"/>
      <c r="P157" s="12"/>
      <c r="Q157" s="12"/>
      <c r="R157" s="12"/>
      <c r="S157" s="12"/>
      <c r="T157" s="12"/>
      <c r="U157" s="12"/>
      <c r="V157" s="12"/>
      <c r="W157" s="228"/>
      <c r="X157" s="228"/>
      <c r="Y157" s="12"/>
      <c r="Z157" s="12"/>
    </row>
    <row r="158" spans="1:26" ht="12.75" customHeight="1" outlineLevel="1" x14ac:dyDescent="0.15">
      <c r="A158" s="12"/>
      <c r="B158" s="256" t="s">
        <v>36</v>
      </c>
      <c r="C158" s="257"/>
      <c r="D158" s="257">
        <f>C_Financier!D49</f>
        <v>11.444886267267179</v>
      </c>
      <c r="E158" s="257">
        <f t="shared" ref="E158:I158" si="70">(E157)/(D157)*100-100</f>
        <v>14.046097132034646</v>
      </c>
      <c r="F158" s="257">
        <f t="shared" si="70"/>
        <v>3.3205402988925243</v>
      </c>
      <c r="G158" s="257">
        <f t="shared" si="70"/>
        <v>3.1573923706241516</v>
      </c>
      <c r="H158" s="257">
        <f t="shared" si="70"/>
        <v>4.3966307578825763</v>
      </c>
      <c r="I158" s="257">
        <f t="shared" si="70"/>
        <v>3.1406330443611381</v>
      </c>
      <c r="J158" s="257">
        <f>IFERROR((POWER(I157/C157,1/6)-1)*100,"Erreur")</f>
        <v>6.493715288110824</v>
      </c>
      <c r="K158" s="12"/>
      <c r="L158" s="138"/>
      <c r="M158" s="12"/>
      <c r="N158" s="12"/>
      <c r="O158" s="228"/>
      <c r="P158" s="12"/>
      <c r="Q158" s="12"/>
      <c r="R158" s="12"/>
      <c r="S158" s="12"/>
      <c r="T158" s="12"/>
      <c r="U158" s="12"/>
      <c r="V158" s="12"/>
      <c r="W158" s="228"/>
      <c r="X158" s="228"/>
      <c r="Y158" s="12"/>
      <c r="Z158" s="12"/>
    </row>
    <row r="159" spans="1:26" ht="12.75" customHeight="1" outlineLevel="1" x14ac:dyDescent="0.15">
      <c r="A159" s="12"/>
      <c r="B159" s="264" t="str">
        <f>$A$288</f>
        <v>Service de la dette</v>
      </c>
      <c r="C159" s="266">
        <f>C_Financier!C51</f>
        <v>-7689</v>
      </c>
      <c r="D159" s="266">
        <f t="shared" ref="D159:I159" si="71">D114</f>
        <v>-8619</v>
      </c>
      <c r="E159" s="266">
        <f t="shared" si="71"/>
        <v>-10358</v>
      </c>
      <c r="F159" s="266">
        <f t="shared" si="71"/>
        <v>-9148</v>
      </c>
      <c r="G159" s="266">
        <f t="shared" si="71"/>
        <v>-10017</v>
      </c>
      <c r="H159" s="266">
        <f t="shared" si="71"/>
        <v>-10127</v>
      </c>
      <c r="I159" s="266">
        <f t="shared" si="71"/>
        <v>-11011</v>
      </c>
      <c r="J159" s="267"/>
      <c r="K159" s="12"/>
      <c r="L159" s="138"/>
      <c r="M159" s="12"/>
      <c r="N159" s="12"/>
      <c r="O159" s="228"/>
      <c r="P159" s="12"/>
      <c r="Q159" s="12"/>
      <c r="R159" s="12"/>
      <c r="S159" s="12"/>
      <c r="T159" s="12"/>
      <c r="U159" s="12"/>
      <c r="V159" s="12"/>
      <c r="W159" s="228"/>
      <c r="X159" s="228"/>
      <c r="Y159" s="12"/>
      <c r="Z159" s="12"/>
    </row>
    <row r="160" spans="1:26" ht="12.75" customHeight="1" outlineLevel="1" x14ac:dyDescent="0.15">
      <c r="A160" s="12"/>
      <c r="B160" s="268" t="s">
        <v>36</v>
      </c>
      <c r="C160" s="269"/>
      <c r="D160" s="269">
        <f>C_Financier!D52</f>
        <v>12.095200936402662</v>
      </c>
      <c r="E160" s="269">
        <f t="shared" ref="E160:I160" si="72">(E159)/(D159)*100-100</f>
        <v>20.176354565494847</v>
      </c>
      <c r="F160" s="269">
        <f t="shared" si="72"/>
        <v>-11.681791851708823</v>
      </c>
      <c r="G160" s="269">
        <f t="shared" si="72"/>
        <v>9.4993441189330952</v>
      </c>
      <c r="H160" s="269">
        <f t="shared" si="72"/>
        <v>1.0981331736048787</v>
      </c>
      <c r="I160" s="269">
        <f t="shared" si="72"/>
        <v>8.7291399229781632</v>
      </c>
      <c r="J160" s="269">
        <f>IFERROR((POWER(I159/C159,1/6)-1)*100,"Erreur")</f>
        <v>6.1677997354952607</v>
      </c>
      <c r="K160" s="12"/>
      <c r="L160" s="138"/>
      <c r="M160" s="12"/>
      <c r="N160" s="12"/>
      <c r="O160" s="228"/>
      <c r="P160" s="12"/>
      <c r="Q160" s="12"/>
      <c r="R160" s="12"/>
      <c r="S160" s="12"/>
      <c r="T160" s="12"/>
      <c r="U160" s="12"/>
      <c r="V160" s="12"/>
      <c r="W160" s="228"/>
      <c r="X160" s="228"/>
      <c r="Y160" s="12"/>
      <c r="Z160" s="12"/>
    </row>
    <row r="161" spans="1:26" ht="7.5" customHeight="1" x14ac:dyDescent="0.15">
      <c r="A161" s="12"/>
      <c r="B161" s="12"/>
      <c r="C161" s="12"/>
      <c r="D161" s="12"/>
      <c r="E161" s="12"/>
      <c r="F161" s="12"/>
      <c r="G161" s="12"/>
      <c r="H161" s="12"/>
      <c r="I161" s="12"/>
      <c r="J161" s="12"/>
      <c r="K161" s="12"/>
      <c r="L161" s="138"/>
      <c r="M161" s="12"/>
      <c r="N161" s="12"/>
      <c r="O161" s="228"/>
      <c r="P161" s="12"/>
      <c r="Q161" s="12"/>
      <c r="R161" s="12"/>
      <c r="S161" s="12"/>
      <c r="T161" s="12"/>
      <c r="U161" s="12"/>
      <c r="V161" s="12"/>
      <c r="W161" s="228"/>
      <c r="X161" s="228"/>
      <c r="Y161" s="12"/>
      <c r="Z161" s="12"/>
    </row>
    <row r="162" spans="1:26" ht="12.75" customHeight="1" x14ac:dyDescent="0.15">
      <c r="A162" s="12"/>
      <c r="B162" s="74" t="s">
        <v>53</v>
      </c>
      <c r="C162" s="270">
        <f>C_Financier!C56</f>
        <v>-12995</v>
      </c>
      <c r="D162" s="270">
        <f>C_Financier!D56</f>
        <v>-9178</v>
      </c>
      <c r="E162" s="270">
        <f>C_Financier!E56</f>
        <v>-2355</v>
      </c>
      <c r="F162" s="270">
        <f>C_Financier!F56</f>
        <v>-462</v>
      </c>
      <c r="G162" s="270">
        <f>C_Financier!G56</f>
        <v>-18</v>
      </c>
      <c r="H162" s="270">
        <f>C_Financier!H56</f>
        <v>0</v>
      </c>
      <c r="I162" s="270">
        <f>C_Financier!I56</f>
        <v>0</v>
      </c>
      <c r="J162" s="12"/>
      <c r="K162" s="12"/>
      <c r="L162" s="138"/>
      <c r="M162" s="12"/>
      <c r="N162" s="12"/>
      <c r="O162" s="228"/>
      <c r="P162" s="12"/>
      <c r="Q162" s="12"/>
      <c r="R162" s="12"/>
      <c r="S162" s="12"/>
      <c r="T162" s="12"/>
      <c r="U162" s="12"/>
      <c r="V162" s="12"/>
      <c r="W162" s="228"/>
      <c r="X162" s="228"/>
      <c r="Y162" s="12"/>
      <c r="Z162" s="12"/>
    </row>
    <row r="163" spans="1:26" ht="12.75" customHeight="1" x14ac:dyDescent="0.15">
      <c r="A163" s="12"/>
      <c r="B163" s="74" t="str">
        <f>$N$91</f>
        <v>Provision pour risques économiques et autres mesures de soutien et de relance</v>
      </c>
      <c r="C163" s="270">
        <f>C_Financier!C57</f>
        <v>0</v>
      </c>
      <c r="D163" s="270">
        <f>C_Financier!D57</f>
        <v>0</v>
      </c>
      <c r="E163" s="270">
        <f>C_Financier!E57+E91</f>
        <v>0</v>
      </c>
      <c r="F163" s="270">
        <f>C_Financier!F57+F91</f>
        <v>0</v>
      </c>
      <c r="G163" s="270">
        <f>C_Financier!G57+G91</f>
        <v>0</v>
      </c>
      <c r="H163" s="270">
        <f>C_Financier!H57+H91</f>
        <v>0</v>
      </c>
      <c r="I163" s="270">
        <f>C_Financier!I57+I91</f>
        <v>0</v>
      </c>
      <c r="J163" s="270"/>
      <c r="K163" s="12"/>
      <c r="L163" s="138"/>
      <c r="M163" s="12"/>
      <c r="N163" s="12"/>
      <c r="O163" s="228"/>
      <c r="P163" s="12"/>
      <c r="Q163" s="12"/>
      <c r="R163" s="12"/>
      <c r="S163" s="12"/>
      <c r="T163" s="12"/>
      <c r="U163" s="12"/>
      <c r="V163" s="12"/>
      <c r="W163" s="228"/>
      <c r="X163" s="228"/>
      <c r="Y163" s="12"/>
      <c r="Z163" s="12"/>
    </row>
    <row r="164" spans="1:26" ht="18" customHeight="1" x14ac:dyDescent="0.15">
      <c r="A164" s="12"/>
      <c r="B164" s="271" t="s">
        <v>55</v>
      </c>
      <c r="C164" s="272">
        <f t="shared" ref="C164:I164" si="73">ROUND(C120+C135+C162+C163,6)</f>
        <v>-4226</v>
      </c>
      <c r="D164" s="272">
        <f t="shared" si="73"/>
        <v>3323</v>
      </c>
      <c r="E164" s="272">
        <f t="shared" si="73"/>
        <v>-2147.9749999999999</v>
      </c>
      <c r="F164" s="272">
        <f t="shared" si="73"/>
        <v>1763.48</v>
      </c>
      <c r="G164" s="272">
        <f t="shared" si="73"/>
        <v>2450.7080620000002</v>
      </c>
      <c r="H164" s="272">
        <f t="shared" si="73"/>
        <v>2026.4518390000001</v>
      </c>
      <c r="I164" s="272">
        <f t="shared" si="73"/>
        <v>1453.43165</v>
      </c>
      <c r="J164" s="272"/>
      <c r="K164" s="12"/>
      <c r="L164" s="138"/>
      <c r="M164" s="12"/>
      <c r="N164" s="12"/>
      <c r="O164" s="228"/>
      <c r="P164" s="12"/>
      <c r="Q164" s="12"/>
      <c r="R164" s="12"/>
      <c r="S164" s="12"/>
      <c r="T164" s="12"/>
      <c r="U164" s="12"/>
      <c r="V164" s="12"/>
      <c r="W164" s="228"/>
      <c r="X164" s="228"/>
      <c r="Y164" s="12"/>
      <c r="Z164" s="12"/>
    </row>
    <row r="165" spans="1:26" ht="12.75" customHeight="1" x14ac:dyDescent="0.15">
      <c r="A165" s="12"/>
      <c r="B165" s="273" t="s">
        <v>56</v>
      </c>
      <c r="C165" s="273"/>
      <c r="D165" s="274"/>
      <c r="E165" s="275"/>
      <c r="F165" s="275"/>
      <c r="G165" s="275"/>
      <c r="H165" s="275"/>
      <c r="I165" s="275"/>
      <c r="J165" s="275"/>
      <c r="K165" s="12"/>
      <c r="L165" s="138"/>
      <c r="M165" s="12"/>
      <c r="N165" s="12"/>
      <c r="O165" s="228"/>
      <c r="P165" s="12"/>
      <c r="Q165" s="12"/>
      <c r="R165" s="12"/>
      <c r="S165" s="12"/>
      <c r="T165" s="12"/>
      <c r="U165" s="12"/>
      <c r="V165" s="12"/>
      <c r="W165" s="228"/>
      <c r="X165" s="228"/>
      <c r="Y165" s="12"/>
      <c r="Z165" s="12"/>
    </row>
    <row r="166" spans="1:26" ht="28" x14ac:dyDescent="0.15">
      <c r="A166" s="12"/>
      <c r="B166" s="86" t="s">
        <v>57</v>
      </c>
      <c r="C166" s="75">
        <f>C_Financier!C62</f>
        <v>-3313</v>
      </c>
      <c r="D166" s="75">
        <f>C_Financier!D62</f>
        <v>-3617</v>
      </c>
      <c r="E166" s="75">
        <f>C_Financier!E62+E92</f>
        <v>-3428</v>
      </c>
      <c r="F166" s="75">
        <f>C_Financier!F62+F92</f>
        <v>-1480</v>
      </c>
      <c r="G166" s="75">
        <f>C_Financier!G62+G92</f>
        <v>-2009.1250000000005</v>
      </c>
      <c r="H166" s="75">
        <f>C_Financier!H62+H92</f>
        <v>-2199.7031250000009</v>
      </c>
      <c r="I166" s="75">
        <f>C_Financier!I62+I92</f>
        <v>-2497.6957031250013</v>
      </c>
      <c r="J166" s="276"/>
      <c r="K166" s="12"/>
      <c r="L166" s="138"/>
      <c r="M166" s="12"/>
      <c r="N166" s="12"/>
      <c r="O166" s="228"/>
      <c r="P166" s="12"/>
      <c r="Q166" s="12"/>
      <c r="R166" s="12"/>
      <c r="S166" s="12"/>
      <c r="T166" s="12"/>
      <c r="U166" s="12"/>
      <c r="V166" s="12"/>
      <c r="W166" s="228"/>
      <c r="X166" s="228"/>
      <c r="Y166" s="12"/>
      <c r="Z166" s="12"/>
    </row>
    <row r="167" spans="1:26" ht="12.75" hidden="1" customHeight="1" outlineLevel="1" x14ac:dyDescent="0.15">
      <c r="A167" s="12"/>
      <c r="B167" s="86" t="s">
        <v>58</v>
      </c>
      <c r="C167" s="75">
        <v>-3221</v>
      </c>
      <c r="D167" s="75">
        <v>0</v>
      </c>
      <c r="E167" s="75">
        <v>0</v>
      </c>
      <c r="F167" s="75">
        <v>0</v>
      </c>
      <c r="G167" s="75">
        <v>0</v>
      </c>
      <c r="H167" s="75">
        <v>0</v>
      </c>
      <c r="I167" s="75">
        <v>0</v>
      </c>
      <c r="J167" s="12"/>
      <c r="K167" s="12"/>
      <c r="L167" s="138"/>
      <c r="M167" s="12"/>
      <c r="N167" s="12"/>
      <c r="O167" s="228"/>
      <c r="P167" s="12"/>
      <c r="Q167" s="12"/>
      <c r="R167" s="12"/>
      <c r="S167" s="12"/>
      <c r="T167" s="12"/>
      <c r="U167" s="12"/>
      <c r="V167" s="12"/>
      <c r="W167" s="228"/>
      <c r="X167" s="228"/>
      <c r="Y167" s="12"/>
      <c r="Z167" s="12"/>
    </row>
    <row r="168" spans="1:26" ht="28" collapsed="1" x14ac:dyDescent="0.15">
      <c r="A168" s="12"/>
      <c r="B168" s="89" t="s">
        <v>59</v>
      </c>
      <c r="C168" s="90">
        <f t="shared" ref="C168:I168" si="74">C164+C166+C167</f>
        <v>-10760</v>
      </c>
      <c r="D168" s="90">
        <f t="shared" si="74"/>
        <v>-294</v>
      </c>
      <c r="E168" s="90">
        <f t="shared" si="74"/>
        <v>-5575.9750000000004</v>
      </c>
      <c r="F168" s="90">
        <f t="shared" si="74"/>
        <v>283.48</v>
      </c>
      <c r="G168" s="90">
        <f t="shared" si="74"/>
        <v>441.5830619999997</v>
      </c>
      <c r="H168" s="90">
        <f t="shared" si="74"/>
        <v>-173.25128600000085</v>
      </c>
      <c r="I168" s="90">
        <f t="shared" si="74"/>
        <v>-1044.2640531250013</v>
      </c>
      <c r="J168" s="12"/>
      <c r="K168" s="12"/>
      <c r="L168" s="138"/>
      <c r="M168" s="12"/>
      <c r="N168" s="12"/>
      <c r="O168" s="228"/>
      <c r="P168" s="12"/>
      <c r="Q168" s="12"/>
      <c r="R168" s="12"/>
      <c r="S168" s="12"/>
      <c r="T168" s="12"/>
      <c r="U168" s="12"/>
      <c r="V168" s="12"/>
      <c r="W168" s="228"/>
      <c r="X168" s="228"/>
      <c r="Y168" s="12"/>
      <c r="Z168" s="12"/>
    </row>
    <row r="169" spans="1:26" ht="12.75" customHeight="1" x14ac:dyDescent="0.15">
      <c r="A169" s="12"/>
      <c r="B169" s="86" t="s">
        <v>60</v>
      </c>
      <c r="C169" s="75">
        <f t="shared" ref="C169:H169" si="75">MAX(0,-C177-C178)</f>
        <v>10760</v>
      </c>
      <c r="D169" s="75">
        <f t="shared" si="75"/>
        <v>294</v>
      </c>
      <c r="E169" s="75">
        <f t="shared" si="75"/>
        <v>927</v>
      </c>
      <c r="F169" s="75">
        <f t="shared" si="75"/>
        <v>0</v>
      </c>
      <c r="G169" s="75">
        <f t="shared" si="75"/>
        <v>0</v>
      </c>
      <c r="H169" s="75">
        <f t="shared" si="75"/>
        <v>173.25128600000085</v>
      </c>
      <c r="I169" s="75">
        <f>MAX(0,-I177-I178)</f>
        <v>551.81177599999887</v>
      </c>
      <c r="J169" s="12"/>
      <c r="K169" s="12"/>
      <c r="L169" s="138"/>
      <c r="M169" s="12"/>
      <c r="N169" s="12"/>
      <c r="O169" s="228"/>
      <c r="P169" s="12"/>
      <c r="Q169" s="12"/>
      <c r="R169" s="12"/>
      <c r="S169" s="12"/>
      <c r="T169" s="12"/>
      <c r="U169" s="12"/>
      <c r="V169" s="12"/>
      <c r="W169" s="228"/>
      <c r="X169" s="228"/>
      <c r="Y169" s="12"/>
      <c r="Z169" s="12"/>
    </row>
    <row r="170" spans="1:26" ht="18" customHeight="1" x14ac:dyDescent="0.15">
      <c r="A170" s="12"/>
      <c r="B170" s="277" t="s">
        <v>219</v>
      </c>
      <c r="C170" s="278">
        <f t="shared" ref="C170:I170" si="76">ROUND(C164+C166+C167+C169,6)</f>
        <v>0</v>
      </c>
      <c r="D170" s="278">
        <f t="shared" si="76"/>
        <v>0</v>
      </c>
      <c r="E170" s="278">
        <f t="shared" si="76"/>
        <v>-4648.9750000000004</v>
      </c>
      <c r="F170" s="278">
        <f>ROUND(F164+F166+F167+F169,6)</f>
        <v>283.48</v>
      </c>
      <c r="G170" s="278">
        <f t="shared" si="76"/>
        <v>441.58306199999998</v>
      </c>
      <c r="H170" s="278">
        <f t="shared" si="76"/>
        <v>0</v>
      </c>
      <c r="I170" s="278">
        <f t="shared" si="76"/>
        <v>-492.45227699999998</v>
      </c>
      <c r="J170" s="278"/>
      <c r="K170" s="12"/>
      <c r="L170" s="138"/>
      <c r="M170" s="12"/>
      <c r="N170" s="12"/>
      <c r="O170" s="228"/>
      <c r="P170" s="12"/>
      <c r="Q170" s="12"/>
      <c r="R170" s="12"/>
      <c r="S170" s="12"/>
      <c r="T170" s="12"/>
      <c r="U170" s="12"/>
      <c r="V170" s="12"/>
      <c r="W170" s="228"/>
      <c r="X170" s="228"/>
      <c r="Y170" s="12"/>
      <c r="Z170" s="12"/>
    </row>
    <row r="171" spans="1:26" ht="57" customHeight="1" x14ac:dyDescent="0.15">
      <c r="A171" s="12"/>
      <c r="B171" s="356" t="s">
        <v>220</v>
      </c>
      <c r="C171" s="357"/>
      <c r="D171" s="357"/>
      <c r="E171" s="357"/>
      <c r="F171" s="357"/>
      <c r="G171" s="357"/>
      <c r="H171" s="357"/>
      <c r="I171" s="357"/>
      <c r="J171" s="357"/>
      <c r="K171" s="12"/>
      <c r="L171" s="138"/>
      <c r="M171" s="12"/>
      <c r="N171" s="12"/>
      <c r="O171" s="228"/>
      <c r="P171" s="12"/>
      <c r="Q171" s="12"/>
      <c r="R171" s="12"/>
      <c r="S171" s="12"/>
      <c r="T171" s="12"/>
      <c r="U171" s="12"/>
      <c r="V171" s="12"/>
      <c r="W171" s="228"/>
      <c r="X171" s="228"/>
      <c r="Y171" s="12"/>
      <c r="Z171" s="12"/>
    </row>
    <row r="172" spans="1:26" ht="12.75" customHeight="1" x14ac:dyDescent="0.15">
      <c r="A172" s="12"/>
      <c r="B172" s="101"/>
      <c r="C172" s="101"/>
      <c r="D172" s="101"/>
      <c r="E172" s="101"/>
      <c r="F172" s="101"/>
      <c r="G172" s="101"/>
      <c r="H172" s="101"/>
      <c r="I172" s="101"/>
      <c r="J172" s="101"/>
      <c r="K172" s="12"/>
      <c r="L172" s="138"/>
      <c r="M172" s="12"/>
      <c r="N172" s="12"/>
      <c r="O172" s="228"/>
      <c r="P172" s="12"/>
      <c r="Q172" s="12"/>
      <c r="R172" s="12"/>
      <c r="S172" s="12"/>
      <c r="T172" s="12"/>
      <c r="U172" s="12"/>
      <c r="V172" s="12"/>
      <c r="W172" s="228"/>
      <c r="X172" s="228"/>
      <c r="Y172" s="12"/>
      <c r="Z172" s="12"/>
    </row>
    <row r="173" spans="1:26" ht="12.75" customHeight="1" x14ac:dyDescent="0.15">
      <c r="A173" s="12"/>
      <c r="B173" s="336" t="s">
        <v>221</v>
      </c>
      <c r="C173" s="324"/>
      <c r="D173" s="324"/>
      <c r="E173" s="324"/>
      <c r="F173" s="324"/>
      <c r="G173" s="324"/>
      <c r="H173" s="324"/>
      <c r="I173" s="101"/>
      <c r="J173" s="101"/>
      <c r="K173" s="12"/>
      <c r="L173" s="138"/>
      <c r="M173" s="12"/>
      <c r="N173" s="12"/>
      <c r="O173" s="228"/>
      <c r="P173" s="12"/>
      <c r="Q173" s="12"/>
      <c r="R173" s="12"/>
      <c r="S173" s="12"/>
      <c r="T173" s="12"/>
      <c r="U173" s="12"/>
      <c r="V173" s="12"/>
      <c r="W173" s="228"/>
      <c r="X173" s="228"/>
      <c r="Y173" s="12"/>
      <c r="Z173" s="12"/>
    </row>
    <row r="174" spans="1:26" ht="12.75" customHeight="1" x14ac:dyDescent="0.15">
      <c r="A174" s="12"/>
      <c r="B174" s="352" t="s">
        <v>17</v>
      </c>
      <c r="C174" s="353"/>
      <c r="D174" s="353"/>
      <c r="E174" s="353"/>
      <c r="F174" s="353"/>
      <c r="G174" s="353"/>
      <c r="H174" s="353"/>
      <c r="I174" s="101"/>
      <c r="J174" s="101"/>
      <c r="K174" s="12"/>
      <c r="L174" s="138"/>
      <c r="M174" s="12"/>
      <c r="N174" s="12"/>
      <c r="O174" s="12"/>
      <c r="P174" s="12"/>
      <c r="Q174" s="12"/>
      <c r="R174" s="12"/>
      <c r="S174" s="12"/>
      <c r="T174" s="12"/>
      <c r="U174" s="12"/>
      <c r="V174" s="12"/>
      <c r="W174" s="12"/>
      <c r="X174" s="12"/>
      <c r="Y174" s="12"/>
      <c r="Z174" s="12"/>
    </row>
    <row r="175" spans="1:26" ht="12.75" customHeight="1" x14ac:dyDescent="0.15">
      <c r="A175" s="12"/>
      <c r="B175" s="139"/>
      <c r="C175" s="102" t="s">
        <v>18</v>
      </c>
      <c r="D175" s="102" t="s">
        <v>19</v>
      </c>
      <c r="E175" s="102" t="s">
        <v>20</v>
      </c>
      <c r="F175" s="102" t="s">
        <v>21</v>
      </c>
      <c r="G175" s="102" t="s">
        <v>22</v>
      </c>
      <c r="H175" s="102" t="s">
        <v>23</v>
      </c>
      <c r="I175" s="102" t="s">
        <v>24</v>
      </c>
      <c r="J175" s="101"/>
      <c r="K175" s="12"/>
      <c r="L175" s="138"/>
      <c r="M175" s="12"/>
      <c r="N175" s="12"/>
      <c r="O175" s="12"/>
      <c r="P175" s="12"/>
      <c r="Q175" s="12"/>
      <c r="R175" s="12"/>
      <c r="S175" s="12"/>
      <c r="T175" s="12"/>
      <c r="U175" s="12"/>
      <c r="V175" s="12"/>
      <c r="W175" s="12"/>
      <c r="X175" s="12"/>
      <c r="Y175" s="12"/>
      <c r="Z175" s="12"/>
    </row>
    <row r="176" spans="1:26" ht="12.75" customHeight="1" x14ac:dyDescent="0.15">
      <c r="A176" s="12"/>
      <c r="B176" s="226" t="s">
        <v>64</v>
      </c>
      <c r="C176" s="225">
        <v>11981</v>
      </c>
      <c r="D176" s="225">
        <v>1221</v>
      </c>
      <c r="E176" s="225">
        <f t="shared" ref="E176:I176" si="77">D179</f>
        <v>927</v>
      </c>
      <c r="F176" s="225">
        <f t="shared" si="77"/>
        <v>0</v>
      </c>
      <c r="G176" s="225">
        <f t="shared" si="77"/>
        <v>283.48</v>
      </c>
      <c r="H176" s="225">
        <f t="shared" si="77"/>
        <v>725.06306199999972</v>
      </c>
      <c r="I176" s="225">
        <f t="shared" si="77"/>
        <v>551.81177599999887</v>
      </c>
      <c r="J176" s="101"/>
      <c r="K176" s="12"/>
      <c r="L176" s="138"/>
      <c r="M176" s="12"/>
      <c r="N176" s="12"/>
      <c r="O176" s="12"/>
      <c r="P176" s="12"/>
      <c r="Q176" s="12"/>
      <c r="R176" s="12"/>
      <c r="S176" s="12"/>
      <c r="T176" s="12"/>
      <c r="U176" s="12"/>
      <c r="V176" s="12"/>
      <c r="W176" s="12"/>
      <c r="X176" s="12"/>
      <c r="Y176" s="12"/>
      <c r="Z176" s="12"/>
    </row>
    <row r="177" spans="1:26" ht="12.75" customHeight="1" x14ac:dyDescent="0.15">
      <c r="A177" s="12"/>
      <c r="B177" s="279" t="s">
        <v>65</v>
      </c>
      <c r="C177" s="97">
        <v>0</v>
      </c>
      <c r="D177" s="280">
        <f t="shared" ref="D177:I177" si="78">IF(MIN(D176,-D164-D166)&lt;0,-MIN(D176,-D164-D166),0)</f>
        <v>0</v>
      </c>
      <c r="E177" s="280">
        <f t="shared" si="78"/>
        <v>0</v>
      </c>
      <c r="F177" s="280">
        <f t="shared" si="78"/>
        <v>283.48</v>
      </c>
      <c r="G177" s="280">
        <f t="shared" si="78"/>
        <v>441.5830619999997</v>
      </c>
      <c r="H177" s="280">
        <f t="shared" si="78"/>
        <v>0</v>
      </c>
      <c r="I177" s="280">
        <f t="shared" si="78"/>
        <v>0</v>
      </c>
      <c r="J177" s="101"/>
      <c r="K177" s="12"/>
      <c r="L177" s="138"/>
      <c r="M177" s="12"/>
      <c r="N177" s="12"/>
      <c r="O177" s="12"/>
      <c r="P177" s="12"/>
      <c r="Q177" s="12"/>
      <c r="R177" s="12"/>
      <c r="S177" s="12"/>
      <c r="T177" s="12"/>
      <c r="U177" s="12"/>
      <c r="V177" s="12"/>
      <c r="W177" s="12"/>
      <c r="X177" s="12"/>
      <c r="Y177" s="12"/>
      <c r="Z177" s="12"/>
    </row>
    <row r="178" spans="1:26" ht="12.75" customHeight="1" x14ac:dyDescent="0.15">
      <c r="A178" s="12"/>
      <c r="B178" s="279" t="s">
        <v>66</v>
      </c>
      <c r="C178" s="97">
        <v>-10760</v>
      </c>
      <c r="D178" s="280">
        <f t="shared" ref="D178:I178" si="79">IF(MIN(D176,-D164-D166)&gt;0,-MIN(D176,-D164-D166),0)</f>
        <v>-294</v>
      </c>
      <c r="E178" s="280">
        <f t="shared" si="79"/>
        <v>-927</v>
      </c>
      <c r="F178" s="280">
        <f t="shared" si="79"/>
        <v>0</v>
      </c>
      <c r="G178" s="280">
        <f t="shared" si="79"/>
        <v>0</v>
      </c>
      <c r="H178" s="280">
        <f t="shared" si="79"/>
        <v>-173.25128600000085</v>
      </c>
      <c r="I178" s="280">
        <f t="shared" si="79"/>
        <v>-551.81177599999887</v>
      </c>
      <c r="J178" s="101"/>
      <c r="K178" s="12"/>
      <c r="L178" s="138"/>
      <c r="M178" s="12"/>
      <c r="N178" s="12"/>
      <c r="O178" s="12"/>
      <c r="P178" s="12"/>
      <c r="Q178" s="12"/>
      <c r="R178" s="12"/>
      <c r="S178" s="12"/>
      <c r="T178" s="12"/>
      <c r="U178" s="12"/>
      <c r="V178" s="12"/>
      <c r="W178" s="12"/>
      <c r="X178" s="12"/>
      <c r="Y178" s="12"/>
      <c r="Z178" s="12"/>
    </row>
    <row r="179" spans="1:26" ht="12.75" customHeight="1" x14ac:dyDescent="0.15">
      <c r="A179" s="12"/>
      <c r="B179" s="98" t="s">
        <v>67</v>
      </c>
      <c r="C179" s="99">
        <f t="shared" ref="C179:I179" si="80">C176+C177+C178</f>
        <v>1221</v>
      </c>
      <c r="D179" s="99">
        <f t="shared" si="80"/>
        <v>927</v>
      </c>
      <c r="E179" s="99">
        <f t="shared" si="80"/>
        <v>0</v>
      </c>
      <c r="F179" s="99">
        <f t="shared" si="80"/>
        <v>283.48</v>
      </c>
      <c r="G179" s="99">
        <f t="shared" si="80"/>
        <v>725.06306199999972</v>
      </c>
      <c r="H179" s="99">
        <f t="shared" si="80"/>
        <v>551.81177599999887</v>
      </c>
      <c r="I179" s="99">
        <f t="shared" si="80"/>
        <v>0</v>
      </c>
      <c r="J179" s="101"/>
      <c r="K179" s="12"/>
      <c r="L179" s="138"/>
      <c r="M179" s="12"/>
      <c r="N179" s="12"/>
      <c r="O179" s="12"/>
      <c r="P179" s="12"/>
      <c r="Q179" s="12"/>
      <c r="R179" s="12"/>
      <c r="S179" s="12"/>
      <c r="T179" s="12"/>
      <c r="U179" s="12"/>
      <c r="V179" s="12"/>
      <c r="W179" s="12"/>
      <c r="X179" s="12"/>
      <c r="Y179" s="12"/>
      <c r="Z179" s="12"/>
    </row>
    <row r="180" spans="1:26" ht="15" customHeight="1" x14ac:dyDescent="0.15">
      <c r="A180" s="12"/>
      <c r="B180" s="101"/>
      <c r="C180" s="101"/>
      <c r="D180" s="101"/>
      <c r="E180" s="101"/>
      <c r="F180" s="101"/>
      <c r="G180" s="101"/>
      <c r="H180" s="101"/>
      <c r="I180" s="101"/>
      <c r="J180" s="101"/>
      <c r="K180" s="12"/>
      <c r="L180" s="138"/>
      <c r="M180" s="12"/>
      <c r="N180" s="12"/>
      <c r="O180" s="12"/>
      <c r="P180" s="12"/>
      <c r="Q180" s="12"/>
      <c r="R180" s="12"/>
      <c r="S180" s="12"/>
      <c r="T180" s="12"/>
      <c r="U180" s="12"/>
      <c r="V180" s="12"/>
      <c r="W180" s="12"/>
      <c r="X180" s="12"/>
      <c r="Y180" s="12"/>
      <c r="Z180" s="12"/>
    </row>
    <row r="181" spans="1:26" ht="13.5" customHeight="1" x14ac:dyDescent="0.15">
      <c r="A181" s="12"/>
      <c r="B181" s="336" t="s">
        <v>222</v>
      </c>
      <c r="C181" s="324"/>
      <c r="D181" s="324"/>
      <c r="E181" s="324"/>
      <c r="F181" s="324"/>
      <c r="G181" s="324"/>
      <c r="H181" s="324"/>
      <c r="I181" s="101"/>
      <c r="J181" s="101"/>
      <c r="K181" s="12"/>
      <c r="L181" s="138"/>
      <c r="M181" s="12"/>
      <c r="N181" s="12"/>
      <c r="O181" s="12"/>
      <c r="P181" s="12"/>
      <c r="Q181" s="12"/>
      <c r="R181" s="12"/>
      <c r="S181" s="12"/>
      <c r="T181" s="12"/>
      <c r="U181" s="12"/>
      <c r="V181" s="12"/>
      <c r="W181" s="12"/>
      <c r="X181" s="12"/>
      <c r="Y181" s="12"/>
      <c r="Z181" s="12"/>
    </row>
    <row r="182" spans="1:26" ht="12.75" customHeight="1" x14ac:dyDescent="0.15">
      <c r="A182" s="12"/>
      <c r="B182" s="352" t="s">
        <v>17</v>
      </c>
      <c r="C182" s="353"/>
      <c r="D182" s="353"/>
      <c r="E182" s="353"/>
      <c r="F182" s="353"/>
      <c r="G182" s="353"/>
      <c r="H182" s="353"/>
      <c r="I182" s="101"/>
      <c r="J182" s="101"/>
      <c r="K182" s="12"/>
      <c r="L182" s="138"/>
      <c r="M182" s="12"/>
      <c r="N182" s="12"/>
      <c r="O182" s="12"/>
      <c r="P182" s="12"/>
      <c r="Q182" s="12"/>
      <c r="R182" s="12"/>
      <c r="S182" s="12"/>
      <c r="T182" s="12"/>
      <c r="U182" s="12"/>
      <c r="V182" s="12"/>
      <c r="W182" s="12"/>
      <c r="X182" s="12"/>
      <c r="Y182" s="12"/>
      <c r="Z182" s="12"/>
    </row>
    <row r="183" spans="1:26" ht="12.75" customHeight="1" x14ac:dyDescent="0.15">
      <c r="A183" s="12"/>
      <c r="B183" s="139"/>
      <c r="C183" s="139"/>
      <c r="D183" s="102" t="s">
        <v>19</v>
      </c>
      <c r="E183" s="102" t="s">
        <v>20</v>
      </c>
      <c r="F183" s="102" t="s">
        <v>21</v>
      </c>
      <c r="G183" s="102" t="s">
        <v>22</v>
      </c>
      <c r="H183" s="102" t="s">
        <v>23</v>
      </c>
      <c r="I183" s="102" t="s">
        <v>24</v>
      </c>
      <c r="J183" s="101"/>
      <c r="K183" s="12"/>
      <c r="L183" s="138"/>
      <c r="M183" s="12"/>
      <c r="N183" s="12"/>
      <c r="O183" s="12"/>
      <c r="P183" s="12"/>
      <c r="Q183" s="12"/>
      <c r="R183" s="12"/>
      <c r="S183" s="12"/>
      <c r="T183" s="12"/>
      <c r="U183" s="12"/>
      <c r="V183" s="12"/>
      <c r="W183" s="12"/>
      <c r="X183" s="12"/>
      <c r="Y183" s="12"/>
      <c r="Z183" s="12"/>
    </row>
    <row r="184" spans="1:26" ht="12.75" customHeight="1" x14ac:dyDescent="0.15">
      <c r="A184" s="12"/>
      <c r="B184" s="226" t="s">
        <v>223</v>
      </c>
      <c r="C184" s="225"/>
      <c r="D184" s="225">
        <f>C_Financier!D85</f>
        <v>212620</v>
      </c>
      <c r="E184" s="225">
        <f>C_Financier!E85</f>
        <v>219814</v>
      </c>
      <c r="F184" s="225">
        <f>C_Financier!F85</f>
        <v>224556</v>
      </c>
      <c r="G184" s="225">
        <f>C_Financier!G85</f>
        <v>227868</v>
      </c>
      <c r="H184" s="225">
        <f>C_Financier!H85</f>
        <v>232097</v>
      </c>
      <c r="I184" s="225">
        <f>C_Financier!I85</f>
        <v>235793</v>
      </c>
      <c r="J184" s="101"/>
      <c r="K184" s="12"/>
      <c r="L184" s="138"/>
      <c r="M184" s="12"/>
      <c r="N184" s="12"/>
      <c r="O184" s="12"/>
      <c r="P184" s="12"/>
      <c r="Q184" s="12"/>
      <c r="R184" s="12"/>
      <c r="S184" s="12"/>
      <c r="T184" s="12"/>
      <c r="U184" s="12"/>
      <c r="V184" s="12"/>
      <c r="W184" s="12"/>
      <c r="X184" s="12"/>
      <c r="Y184" s="12"/>
      <c r="Z184" s="12"/>
    </row>
    <row r="185" spans="1:26" ht="12.75" customHeight="1" x14ac:dyDescent="0.15">
      <c r="A185" s="12"/>
      <c r="B185" s="281" t="s">
        <v>70</v>
      </c>
      <c r="C185" s="282"/>
      <c r="D185" s="283">
        <f>C_Financier!D86</f>
        <v>42.1</v>
      </c>
      <c r="E185" s="283">
        <f>C_Financier!E86</f>
        <v>39.700000000000003</v>
      </c>
      <c r="F185" s="283">
        <f>C_Financier!F86</f>
        <v>39.1</v>
      </c>
      <c r="G185" s="283">
        <f>C_Financier!G86</f>
        <v>38.299999999999997</v>
      </c>
      <c r="H185" s="283">
        <f>C_Financier!H86</f>
        <v>37.700000000000003</v>
      </c>
      <c r="I185" s="283">
        <f>C_Financier!I86</f>
        <v>37</v>
      </c>
      <c r="J185" s="101"/>
      <c r="K185" s="12"/>
      <c r="L185" s="138"/>
      <c r="M185" s="12"/>
      <c r="N185" s="12"/>
      <c r="O185" s="12"/>
      <c r="P185" s="12"/>
      <c r="Q185" s="12"/>
      <c r="R185" s="12"/>
      <c r="S185" s="12"/>
      <c r="T185" s="12"/>
      <c r="U185" s="12"/>
      <c r="V185" s="12"/>
      <c r="W185" s="12"/>
      <c r="X185" s="12"/>
      <c r="Y185" s="12"/>
      <c r="Z185" s="12"/>
    </row>
    <row r="186" spans="1:26" ht="12.75" customHeight="1" x14ac:dyDescent="0.15">
      <c r="A186" s="12"/>
      <c r="B186" s="284" t="s">
        <v>224</v>
      </c>
      <c r="C186" s="279"/>
      <c r="D186" s="280"/>
      <c r="E186" s="280">
        <v>0</v>
      </c>
      <c r="F186" s="280">
        <f>E187</f>
        <v>3919.9750000000004</v>
      </c>
      <c r="G186" s="280">
        <f>E187+F187</f>
        <v>5909.4950000000008</v>
      </c>
      <c r="H186" s="280">
        <f>E187+F187+G187</f>
        <v>8166.7869380000011</v>
      </c>
      <c r="I186" s="280">
        <f>E187+F187+G187+H187</f>
        <v>11108.335099</v>
      </c>
      <c r="J186" s="101"/>
      <c r="K186" s="12"/>
      <c r="L186" s="138"/>
      <c r="M186" s="12"/>
      <c r="N186" s="12"/>
      <c r="O186" s="12"/>
      <c r="P186" s="12"/>
      <c r="Q186" s="12"/>
      <c r="R186" s="12"/>
      <c r="S186" s="12"/>
      <c r="T186" s="12"/>
      <c r="U186" s="12"/>
      <c r="V186" s="12"/>
      <c r="W186" s="12"/>
      <c r="X186" s="12"/>
      <c r="Y186" s="12"/>
      <c r="Z186" s="12"/>
    </row>
    <row r="187" spans="1:26" ht="12.75" customHeight="1" x14ac:dyDescent="0.15">
      <c r="A187" s="12"/>
      <c r="B187" s="279" t="s">
        <v>209</v>
      </c>
      <c r="C187" s="279"/>
      <c r="D187" s="280"/>
      <c r="E187" s="280">
        <f>-(E168-C_Financier!E66+E97+E98-E92)</f>
        <v>3919.9750000000004</v>
      </c>
      <c r="F187" s="280">
        <f>-(F168-C_Financier!F66+F97+F98-F92)</f>
        <v>1989.52</v>
      </c>
      <c r="G187" s="280">
        <f>-(G168-C_Financier!G66+G97+G98-G92)</f>
        <v>2257.2919379999998</v>
      </c>
      <c r="H187" s="280">
        <f>-(H168-C_Financier!H66+H97+H98-H92)</f>
        <v>2941.5481609999997</v>
      </c>
      <c r="I187" s="280">
        <f>-(I168-C_Financier!I66+I97+I98-I92)</f>
        <v>4340.5683499999996</v>
      </c>
      <c r="J187" s="101"/>
      <c r="K187" s="12"/>
      <c r="L187" s="138"/>
      <c r="M187" s="12"/>
      <c r="N187" s="12"/>
      <c r="O187" s="12"/>
      <c r="P187" s="12"/>
      <c r="Q187" s="12"/>
      <c r="R187" s="12"/>
      <c r="S187" s="12"/>
      <c r="T187" s="12"/>
      <c r="U187" s="12"/>
      <c r="V187" s="12"/>
      <c r="W187" s="12"/>
      <c r="X187" s="12"/>
      <c r="Y187" s="12"/>
      <c r="Z187" s="12"/>
    </row>
    <row r="188" spans="1:26" ht="12.75" customHeight="1" x14ac:dyDescent="0.15">
      <c r="A188" s="12"/>
      <c r="B188" s="285" t="s">
        <v>225</v>
      </c>
      <c r="C188" s="285"/>
      <c r="D188" s="286">
        <f>D184+D187</f>
        <v>212620</v>
      </c>
      <c r="E188" s="286">
        <f t="shared" ref="E188:I188" si="81">E184+E186+E187</f>
        <v>223733.97500000001</v>
      </c>
      <c r="F188" s="286">
        <f t="shared" si="81"/>
        <v>230465.495</v>
      </c>
      <c r="G188" s="286">
        <f t="shared" si="81"/>
        <v>236034.786938</v>
      </c>
      <c r="H188" s="286">
        <f t="shared" si="81"/>
        <v>243205.33509900002</v>
      </c>
      <c r="I188" s="286">
        <f t="shared" si="81"/>
        <v>251241.90344899998</v>
      </c>
      <c r="J188" s="101"/>
      <c r="K188" s="12"/>
      <c r="L188" s="138"/>
      <c r="M188" s="12"/>
      <c r="N188" s="12"/>
      <c r="O188" s="12"/>
      <c r="P188" s="12"/>
      <c r="Q188" s="12"/>
      <c r="R188" s="12"/>
      <c r="S188" s="12"/>
      <c r="T188" s="12"/>
      <c r="U188" s="12"/>
      <c r="V188" s="12"/>
      <c r="W188" s="12"/>
      <c r="X188" s="12"/>
      <c r="Y188" s="12"/>
      <c r="Z188" s="12"/>
    </row>
    <row r="189" spans="1:26" ht="12.75" customHeight="1" x14ac:dyDescent="0.15">
      <c r="A189" s="12"/>
      <c r="B189" s="287" t="s">
        <v>226</v>
      </c>
      <c r="C189" s="287"/>
      <c r="D189" s="288">
        <f>ROUND(((D188)/Economique!C$10)/10,1)</f>
        <v>42.1</v>
      </c>
      <c r="E189" s="288">
        <f>ROUND(((E188)/Economique!D$10)/10,1)</f>
        <v>40.4</v>
      </c>
      <c r="F189" s="288">
        <f>ROUND(((F188)/Economique!E$10)/10,1)</f>
        <v>40.1</v>
      </c>
      <c r="G189" s="288">
        <f>ROUND(((G188)/Economique!F$10)/10,1)</f>
        <v>39.6</v>
      </c>
      <c r="H189" s="288">
        <f>ROUND(((H188)/Economique!G$10)/10,1)</f>
        <v>39.5</v>
      </c>
      <c r="I189" s="288">
        <f>ROUND(((I188)/Economique!H$10)/10,1)</f>
        <v>39.4</v>
      </c>
      <c r="J189" s="101"/>
      <c r="K189" s="12"/>
      <c r="L189" s="138"/>
      <c r="M189" s="12"/>
      <c r="N189" s="12"/>
      <c r="O189" s="12"/>
      <c r="P189" s="12"/>
      <c r="Q189" s="12"/>
      <c r="R189" s="12"/>
      <c r="S189" s="12"/>
      <c r="T189" s="12"/>
      <c r="U189" s="12"/>
      <c r="V189" s="12"/>
      <c r="W189" s="12"/>
      <c r="X189" s="12"/>
      <c r="Y189" s="12"/>
      <c r="Z189" s="12"/>
    </row>
    <row r="190" spans="1:26" ht="12.75" customHeight="1" x14ac:dyDescent="0.15">
      <c r="A190" s="12"/>
      <c r="B190" s="289"/>
      <c r="C190" s="289"/>
      <c r="D190" s="290"/>
      <c r="E190" s="290"/>
      <c r="F190" s="290"/>
      <c r="G190" s="290"/>
      <c r="H190" s="290"/>
      <c r="I190" s="290"/>
      <c r="J190" s="101"/>
      <c r="K190" s="12"/>
      <c r="L190" s="138"/>
      <c r="M190" s="12"/>
      <c r="N190" s="12"/>
      <c r="O190" s="12"/>
      <c r="P190" s="12"/>
      <c r="Q190" s="12"/>
      <c r="R190" s="12"/>
      <c r="S190" s="12"/>
      <c r="T190" s="12"/>
      <c r="U190" s="12"/>
      <c r="V190" s="12"/>
      <c r="W190" s="12"/>
      <c r="X190" s="12"/>
      <c r="Y190" s="12"/>
      <c r="Z190" s="12"/>
    </row>
    <row r="191" spans="1:26" ht="13.5" customHeight="1" x14ac:dyDescent="0.15">
      <c r="A191" s="12"/>
      <c r="B191" s="336" t="s">
        <v>227</v>
      </c>
      <c r="C191" s="324"/>
      <c r="D191" s="324"/>
      <c r="E191" s="324"/>
      <c r="F191" s="324"/>
      <c r="G191" s="324"/>
      <c r="H191" s="324"/>
      <c r="I191" s="290"/>
      <c r="J191" s="101"/>
      <c r="K191" s="12"/>
      <c r="L191" s="138"/>
      <c r="M191" s="12"/>
      <c r="N191" s="12"/>
      <c r="O191" s="12"/>
      <c r="P191" s="12"/>
      <c r="Q191" s="12"/>
      <c r="R191" s="12"/>
      <c r="S191" s="12"/>
      <c r="T191" s="12"/>
      <c r="U191" s="12"/>
      <c r="V191" s="12"/>
      <c r="W191" s="12"/>
      <c r="X191" s="12"/>
      <c r="Y191" s="12"/>
      <c r="Z191" s="12"/>
    </row>
    <row r="192" spans="1:26" ht="12.75" customHeight="1" x14ac:dyDescent="0.15">
      <c r="A192" s="12"/>
      <c r="B192" s="352" t="s">
        <v>17</v>
      </c>
      <c r="C192" s="353"/>
      <c r="D192" s="353"/>
      <c r="E192" s="353"/>
      <c r="F192" s="353"/>
      <c r="G192" s="353"/>
      <c r="H192" s="353"/>
      <c r="I192" s="290"/>
      <c r="J192" s="101"/>
      <c r="K192" s="12"/>
      <c r="L192" s="138"/>
      <c r="M192" s="12"/>
      <c r="N192" s="12"/>
      <c r="O192" s="12"/>
      <c r="P192" s="12"/>
      <c r="Q192" s="12"/>
      <c r="R192" s="12"/>
      <c r="S192" s="12"/>
      <c r="T192" s="12"/>
      <c r="U192" s="12"/>
      <c r="V192" s="12"/>
      <c r="W192" s="12"/>
      <c r="X192" s="12"/>
      <c r="Y192" s="12"/>
      <c r="Z192" s="12"/>
    </row>
    <row r="193" spans="1:26" ht="12.75" customHeight="1" x14ac:dyDescent="0.15">
      <c r="A193" s="12"/>
      <c r="B193" s="139"/>
      <c r="C193" s="139"/>
      <c r="D193" s="102" t="s">
        <v>19</v>
      </c>
      <c r="E193" s="102" t="s">
        <v>20</v>
      </c>
      <c r="F193" s="102" t="s">
        <v>21</v>
      </c>
      <c r="G193" s="102" t="s">
        <v>22</v>
      </c>
      <c r="H193" s="102" t="s">
        <v>23</v>
      </c>
      <c r="I193" s="102" t="s">
        <v>24</v>
      </c>
      <c r="J193" s="101"/>
      <c r="K193" s="12"/>
      <c r="L193" s="138"/>
      <c r="M193" s="12"/>
      <c r="N193" s="12"/>
      <c r="O193" s="12"/>
      <c r="P193" s="12"/>
      <c r="Q193" s="12"/>
      <c r="R193" s="12"/>
      <c r="S193" s="12"/>
      <c r="T193" s="12"/>
      <c r="U193" s="12"/>
      <c r="V193" s="12"/>
      <c r="W193" s="12"/>
      <c r="X193" s="12"/>
      <c r="Y193" s="12"/>
      <c r="Z193" s="12"/>
    </row>
    <row r="194" spans="1:26" ht="12.75" customHeight="1" x14ac:dyDescent="0.15">
      <c r="A194" s="12"/>
      <c r="B194" s="226" t="s">
        <v>223</v>
      </c>
      <c r="C194" s="225"/>
      <c r="D194" s="225">
        <f>C_Financier!D87</f>
        <v>105405</v>
      </c>
      <c r="E194" s="225">
        <f>C_Financier!E87</f>
        <v>103633</v>
      </c>
      <c r="F194" s="225">
        <f>C_Financier!F87</f>
        <v>100955</v>
      </c>
      <c r="G194" s="225">
        <f>C_Financier!G87</f>
        <v>97822</v>
      </c>
      <c r="H194" s="225">
        <f>C_Financier!H87</f>
        <v>94929</v>
      </c>
      <c r="I194" s="225">
        <f>C_Financier!I87</f>
        <v>91710</v>
      </c>
      <c r="J194" s="101"/>
      <c r="K194" s="12"/>
      <c r="L194" s="138"/>
      <c r="M194" s="12"/>
      <c r="N194" s="12"/>
      <c r="O194" s="12"/>
      <c r="P194" s="12"/>
      <c r="Q194" s="12"/>
      <c r="R194" s="12"/>
      <c r="S194" s="12"/>
      <c r="T194" s="12"/>
      <c r="U194" s="12"/>
      <c r="V194" s="12"/>
      <c r="W194" s="12"/>
      <c r="X194" s="12"/>
      <c r="Y194" s="12"/>
      <c r="Z194" s="12"/>
    </row>
    <row r="195" spans="1:26" ht="12.75" customHeight="1" x14ac:dyDescent="0.15">
      <c r="A195" s="12"/>
      <c r="B195" s="281" t="s">
        <v>70</v>
      </c>
      <c r="C195" s="282"/>
      <c r="D195" s="283">
        <f>C_Financier!D88</f>
        <v>20.9</v>
      </c>
      <c r="E195" s="283">
        <f>C_Financier!E88</f>
        <v>18.7</v>
      </c>
      <c r="F195" s="283">
        <f>C_Financier!F88</f>
        <v>17.600000000000001</v>
      </c>
      <c r="G195" s="283">
        <f>C_Financier!G88</f>
        <v>16.399999999999999</v>
      </c>
      <c r="H195" s="283">
        <f>C_Financier!H88</f>
        <v>15.4</v>
      </c>
      <c r="I195" s="283">
        <f>C_Financier!I88</f>
        <v>14.4</v>
      </c>
      <c r="J195" s="101"/>
      <c r="K195" s="12"/>
      <c r="L195" s="138"/>
      <c r="M195" s="12"/>
      <c r="N195" s="12"/>
      <c r="O195" s="12"/>
      <c r="P195" s="12"/>
      <c r="Q195" s="12"/>
      <c r="R195" s="12"/>
      <c r="S195" s="12"/>
      <c r="T195" s="12"/>
      <c r="U195" s="12"/>
      <c r="V195" s="12"/>
      <c r="W195" s="12"/>
      <c r="X195" s="12"/>
      <c r="Y195" s="12"/>
      <c r="Z195" s="12"/>
    </row>
    <row r="196" spans="1:26" ht="12.75" customHeight="1" x14ac:dyDescent="0.15">
      <c r="A196" s="12"/>
      <c r="B196" s="284" t="s">
        <v>224</v>
      </c>
      <c r="C196" s="280"/>
      <c r="D196" s="280"/>
      <c r="E196" s="280">
        <v>0</v>
      </c>
      <c r="F196" s="280">
        <f>E197</f>
        <v>3919.9750000000004</v>
      </c>
      <c r="G196" s="280">
        <f>E197+F197</f>
        <v>4834.4950000000008</v>
      </c>
      <c r="H196" s="280">
        <f>E197+F197+G197</f>
        <v>5516.7869380000011</v>
      </c>
      <c r="I196" s="280">
        <f>E197+F197+G197+H197</f>
        <v>6383.3350990000008</v>
      </c>
      <c r="J196" s="101"/>
      <c r="K196" s="12"/>
      <c r="L196" s="138"/>
      <c r="M196" s="12"/>
      <c r="N196" s="12"/>
      <c r="O196" s="12"/>
      <c r="P196" s="12"/>
      <c r="Q196" s="12"/>
      <c r="R196" s="12"/>
      <c r="S196" s="12"/>
      <c r="T196" s="12"/>
      <c r="U196" s="12"/>
      <c r="V196" s="12"/>
      <c r="W196" s="12"/>
      <c r="X196" s="12"/>
      <c r="Y196" s="12"/>
      <c r="Z196" s="12"/>
    </row>
    <row r="197" spans="1:26" ht="12.75" customHeight="1" x14ac:dyDescent="0.15">
      <c r="A197" s="12"/>
      <c r="B197" s="279" t="s">
        <v>209</v>
      </c>
      <c r="C197" s="279"/>
      <c r="D197" s="280"/>
      <c r="E197" s="280">
        <f>-(E168-C_Financier!E66-E92)</f>
        <v>3919.9750000000004</v>
      </c>
      <c r="F197" s="280">
        <f>-(F168-C_Financier!F66-F92)</f>
        <v>914.52</v>
      </c>
      <c r="G197" s="280">
        <f>-(G168-C_Financier!G66-G92)</f>
        <v>682.29193799999985</v>
      </c>
      <c r="H197" s="280">
        <f>-(H168-C_Financier!H66-H92)</f>
        <v>866.54816099999994</v>
      </c>
      <c r="I197" s="280">
        <f>-(I168-C_Financier!I66-I92)</f>
        <v>1765.56835</v>
      </c>
      <c r="J197" s="101"/>
      <c r="K197" s="12"/>
      <c r="L197" s="138"/>
      <c r="M197" s="12"/>
      <c r="N197" s="12"/>
      <c r="O197" s="12"/>
      <c r="P197" s="12"/>
      <c r="Q197" s="12"/>
      <c r="R197" s="12"/>
      <c r="S197" s="12"/>
      <c r="T197" s="12"/>
      <c r="U197" s="12"/>
      <c r="V197" s="12"/>
      <c r="W197" s="12"/>
      <c r="X197" s="12"/>
      <c r="Y197" s="12"/>
      <c r="Z197" s="12"/>
    </row>
    <row r="198" spans="1:26" ht="12.75" customHeight="1" x14ac:dyDescent="0.15">
      <c r="A198" s="12"/>
      <c r="B198" s="285" t="s">
        <v>225</v>
      </c>
      <c r="C198" s="285"/>
      <c r="D198" s="286">
        <f t="shared" ref="D198:I198" si="82">D194+D196+D197</f>
        <v>105405</v>
      </c>
      <c r="E198" s="286">
        <f t="shared" si="82"/>
        <v>107552.97500000001</v>
      </c>
      <c r="F198" s="286">
        <f t="shared" si="82"/>
        <v>105789.49500000001</v>
      </c>
      <c r="G198" s="286">
        <f t="shared" si="82"/>
        <v>103338.78693799999</v>
      </c>
      <c r="H198" s="286">
        <f t="shared" si="82"/>
        <v>101312.335099</v>
      </c>
      <c r="I198" s="286">
        <f t="shared" si="82"/>
        <v>99858.903449000005</v>
      </c>
      <c r="J198" s="101"/>
      <c r="K198" s="12"/>
      <c r="L198" s="138"/>
      <c r="M198" s="12"/>
      <c r="N198" s="12"/>
      <c r="O198" s="12"/>
      <c r="P198" s="12"/>
      <c r="Q198" s="12"/>
      <c r="R198" s="12"/>
      <c r="S198" s="12"/>
      <c r="T198" s="12"/>
      <c r="U198" s="12"/>
      <c r="V198" s="12"/>
      <c r="W198" s="12"/>
      <c r="X198" s="12"/>
      <c r="Y198" s="12"/>
      <c r="Z198" s="12"/>
    </row>
    <row r="199" spans="1:26" ht="12.75" customHeight="1" x14ac:dyDescent="0.15">
      <c r="A199" s="12"/>
      <c r="B199" s="287" t="s">
        <v>226</v>
      </c>
      <c r="C199" s="287"/>
      <c r="D199" s="288">
        <f>ROUND(((D198*1)/(Economique!C$10*1000))*100,1)</f>
        <v>20.9</v>
      </c>
      <c r="E199" s="288">
        <f>ROUND(((E198*1)/(Economique!D$10*1000))*100,1)</f>
        <v>19.399999999999999</v>
      </c>
      <c r="F199" s="288">
        <f>ROUND(((F198*1)/(Economique!E$10*1000))*100,1)</f>
        <v>18.399999999999999</v>
      </c>
      <c r="G199" s="288">
        <f>ROUND(((G198*1)/(Economique!F$10*1000))*100,1)</f>
        <v>17.399999999999999</v>
      </c>
      <c r="H199" s="288">
        <f>ROUND(((H198*1)/(Economique!G$10*1000))*100,1)</f>
        <v>16.399999999999999</v>
      </c>
      <c r="I199" s="288">
        <f>ROUND(((I198*1)/(Economique!H$10*1000))*100,1)</f>
        <v>15.7</v>
      </c>
      <c r="J199" s="101"/>
      <c r="K199" s="12"/>
      <c r="L199" s="138"/>
      <c r="M199" s="12"/>
      <c r="N199" s="12"/>
      <c r="O199" s="12"/>
      <c r="P199" s="12"/>
      <c r="Q199" s="12"/>
      <c r="R199" s="12"/>
      <c r="S199" s="12"/>
      <c r="T199" s="12"/>
      <c r="U199" s="12"/>
      <c r="V199" s="12"/>
      <c r="W199" s="12"/>
      <c r="X199" s="12"/>
      <c r="Y199" s="12"/>
      <c r="Z199" s="12"/>
    </row>
    <row r="200" spans="1:26" ht="12.75" customHeight="1" x14ac:dyDescent="0.15">
      <c r="A200" s="12"/>
      <c r="B200" s="12"/>
      <c r="C200" s="12"/>
      <c r="D200" s="12"/>
      <c r="E200" s="12"/>
      <c r="F200" s="12"/>
      <c r="G200" s="12"/>
      <c r="H200" s="12"/>
      <c r="I200" s="12"/>
      <c r="J200" s="101"/>
      <c r="K200" s="12"/>
      <c r="L200" s="138"/>
      <c r="M200" s="12"/>
      <c r="N200" s="12"/>
      <c r="O200" s="12"/>
      <c r="P200" s="12"/>
      <c r="Q200" s="12"/>
      <c r="R200" s="12"/>
      <c r="S200" s="12"/>
      <c r="T200" s="12"/>
      <c r="U200" s="12"/>
      <c r="V200" s="12"/>
      <c r="W200" s="12"/>
      <c r="X200" s="12"/>
      <c r="Y200" s="12"/>
      <c r="Z200" s="12"/>
    </row>
    <row r="201" spans="1:26" ht="13.5" customHeight="1" x14ac:dyDescent="0.15">
      <c r="A201" s="12"/>
      <c r="B201" s="350" t="s">
        <v>228</v>
      </c>
      <c r="C201" s="324"/>
      <c r="D201" s="324"/>
      <c r="E201" s="324"/>
      <c r="F201" s="324"/>
      <c r="G201" s="324"/>
      <c r="H201" s="324"/>
      <c r="I201" s="324"/>
      <c r="J201" s="324"/>
      <c r="K201" s="12"/>
      <c r="L201" s="138"/>
      <c r="M201" s="12"/>
      <c r="N201" s="12"/>
      <c r="O201" s="12"/>
      <c r="P201" s="12"/>
      <c r="Q201" s="12"/>
      <c r="R201" s="12"/>
      <c r="S201" s="12"/>
      <c r="T201" s="12"/>
      <c r="U201" s="12"/>
      <c r="V201" s="12"/>
      <c r="W201" s="12"/>
      <c r="X201" s="12"/>
      <c r="Y201" s="12"/>
      <c r="Z201" s="12"/>
    </row>
    <row r="202" spans="1:26" ht="12.75" customHeight="1" x14ac:dyDescent="0.15">
      <c r="A202" s="12"/>
      <c r="B202" s="355" t="s">
        <v>17</v>
      </c>
      <c r="C202" s="353"/>
      <c r="D202" s="353"/>
      <c r="E202" s="353"/>
      <c r="F202" s="353"/>
      <c r="G202" s="353"/>
      <c r="H202" s="353"/>
      <c r="I202" s="353"/>
      <c r="J202" s="353"/>
      <c r="K202" s="12"/>
      <c r="L202" s="138"/>
      <c r="M202" s="12"/>
      <c r="N202" s="12"/>
      <c r="O202" s="12"/>
      <c r="P202" s="12"/>
      <c r="Q202" s="12"/>
      <c r="R202" s="12"/>
      <c r="S202" s="12"/>
      <c r="T202" s="12"/>
      <c r="U202" s="12"/>
      <c r="V202" s="12"/>
      <c r="W202" s="12"/>
      <c r="X202" s="12"/>
      <c r="Y202" s="12"/>
      <c r="Z202" s="12"/>
    </row>
    <row r="203" spans="1:26" ht="39.75" customHeight="1" x14ac:dyDescent="0.15">
      <c r="A203" s="12"/>
      <c r="B203" s="139"/>
      <c r="C203" s="102" t="s">
        <v>18</v>
      </c>
      <c r="D203" s="102" t="s">
        <v>19</v>
      </c>
      <c r="E203" s="102" t="s">
        <v>20</v>
      </c>
      <c r="F203" s="102" t="s">
        <v>21</v>
      </c>
      <c r="G203" s="102" t="s">
        <v>22</v>
      </c>
      <c r="H203" s="102" t="s">
        <v>23</v>
      </c>
      <c r="I203" s="102" t="s">
        <v>24</v>
      </c>
      <c r="J203" s="102" t="s">
        <v>229</v>
      </c>
      <c r="K203" s="12"/>
      <c r="L203" s="138"/>
      <c r="M203" s="12"/>
      <c r="N203" s="12"/>
      <c r="O203" s="12"/>
      <c r="P203" s="12"/>
      <c r="Q203" s="12"/>
      <c r="R203" s="12"/>
      <c r="S203" s="12"/>
      <c r="T203" s="12"/>
      <c r="U203" s="12"/>
      <c r="V203" s="12"/>
      <c r="W203" s="12"/>
      <c r="X203" s="12"/>
      <c r="Y203" s="12"/>
      <c r="Z203" s="12"/>
    </row>
    <row r="204" spans="1:26" ht="12.75" customHeight="1" x14ac:dyDescent="0.15">
      <c r="A204" s="12"/>
      <c r="B204" s="229" t="s">
        <v>217</v>
      </c>
      <c r="C204" s="230">
        <f>C120-C_Financier!C23</f>
        <v>0</v>
      </c>
      <c r="D204" s="230">
        <f>D120-C_Financier!D23</f>
        <v>0</v>
      </c>
      <c r="E204" s="230">
        <f>E120-C_Financier!E23</f>
        <v>979.625</v>
      </c>
      <c r="F204" s="230">
        <f>F120-C_Financier!F23</f>
        <v>2124.9775000000081</v>
      </c>
      <c r="G204" s="230">
        <f>G120-C_Financier!G23</f>
        <v>2840.4579999999842</v>
      </c>
      <c r="H204" s="230">
        <f>H120-C_Financier!H23</f>
        <v>3108.9630250000046</v>
      </c>
      <c r="I204" s="230">
        <f>I120-C_Financier!I23</f>
        <v>3276.5465887500031</v>
      </c>
      <c r="J204" s="211"/>
      <c r="K204" s="12"/>
      <c r="L204" s="138"/>
      <c r="M204" s="12"/>
      <c r="N204" s="12"/>
      <c r="O204" s="12"/>
      <c r="P204" s="12"/>
      <c r="Q204" s="12"/>
      <c r="R204" s="12"/>
      <c r="S204" s="12"/>
      <c r="T204" s="12"/>
      <c r="U204" s="12"/>
      <c r="V204" s="12"/>
      <c r="W204" s="12"/>
      <c r="X204" s="12"/>
      <c r="Y204" s="12"/>
      <c r="Z204" s="12"/>
    </row>
    <row r="205" spans="1:26" ht="12.75" customHeight="1" x14ac:dyDescent="0.15">
      <c r="A205" s="12"/>
      <c r="B205" s="231" t="s">
        <v>36</v>
      </c>
      <c r="C205" s="232"/>
      <c r="D205" s="232">
        <f>D121-C_Financier!D24</f>
        <v>0</v>
      </c>
      <c r="E205" s="232">
        <f>E121-C_Financier!E24</f>
        <v>0.70278423438934823</v>
      </c>
      <c r="F205" s="232">
        <f>F121-C_Financier!F24</f>
        <v>0.76814659744571134</v>
      </c>
      <c r="G205" s="232">
        <f>G121-C_Financier!G24</f>
        <v>0.42915084967728578</v>
      </c>
      <c r="H205" s="232">
        <f>H121-C_Financier!H24</f>
        <v>0.10406170858866481</v>
      </c>
      <c r="I205" s="232">
        <f>I121-C_Financier!I24</f>
        <v>4.4804883900060322E-2</v>
      </c>
      <c r="J205" s="232">
        <f>IFERROR(J121-C_Financier!J24,"Erreur")</f>
        <v>0.34668386617715541</v>
      </c>
      <c r="K205" s="12"/>
      <c r="L205" s="138"/>
      <c r="M205" s="12"/>
      <c r="N205" s="12"/>
      <c r="O205" s="12"/>
      <c r="P205" s="12"/>
      <c r="Q205" s="12"/>
      <c r="R205" s="12"/>
      <c r="S205" s="12"/>
      <c r="T205" s="12"/>
      <c r="U205" s="12"/>
      <c r="V205" s="12"/>
      <c r="W205" s="12"/>
      <c r="X205" s="12"/>
      <c r="Y205" s="12"/>
      <c r="Z205" s="12"/>
    </row>
    <row r="206" spans="1:26" ht="12.75" customHeight="1" x14ac:dyDescent="0.15">
      <c r="A206" s="12"/>
      <c r="B206" s="233" t="str">
        <f>$A$304</f>
        <v>Impôt des particuliers</v>
      </c>
      <c r="C206" s="234">
        <f>C122-C_Financier!C9</f>
        <v>0</v>
      </c>
      <c r="D206" s="234">
        <f>D122-C_Financier!D9</f>
        <v>0</v>
      </c>
      <c r="E206" s="234">
        <f>E122-C_Financier!E9</f>
        <v>-1310</v>
      </c>
      <c r="F206" s="234">
        <f>F122-C_Financier!F9</f>
        <v>-1057.0575000000026</v>
      </c>
      <c r="G206" s="234">
        <f>G122-C_Financier!G9</f>
        <v>-746.06500000000233</v>
      </c>
      <c r="H206" s="234">
        <f>H122-C_Financier!H9</f>
        <v>-723.6241250000021</v>
      </c>
      <c r="I206" s="234">
        <f>I122-C_Financier!I9</f>
        <v>-703.98234875000344</v>
      </c>
      <c r="J206" s="291">
        <f>IFERROR(J122-C_Financier!J9,"Erreur")</f>
        <v>-0.24934640114704365</v>
      </c>
      <c r="K206" s="12"/>
      <c r="L206" s="138"/>
      <c r="M206" s="12"/>
      <c r="N206" s="12"/>
      <c r="O206" s="12"/>
      <c r="P206" s="12"/>
      <c r="Q206" s="12"/>
      <c r="R206" s="12"/>
      <c r="S206" s="12"/>
      <c r="T206" s="12"/>
      <c r="U206" s="12"/>
      <c r="V206" s="12"/>
      <c r="W206" s="12"/>
      <c r="X206" s="12"/>
      <c r="Y206" s="12"/>
      <c r="Z206" s="12"/>
    </row>
    <row r="207" spans="1:26" ht="12.75" customHeight="1" x14ac:dyDescent="0.15">
      <c r="A207" s="12"/>
      <c r="B207" s="236" t="str">
        <f>$A$305</f>
        <v>Cotisations pour les services de santé</v>
      </c>
      <c r="C207" s="237">
        <f>C123-C_Financier!C10</f>
        <v>0</v>
      </c>
      <c r="D207" s="237">
        <f>D123-C_Financier!D10</f>
        <v>0</v>
      </c>
      <c r="E207" s="237">
        <f>E123-C_Financier!E10</f>
        <v>0</v>
      </c>
      <c r="F207" s="237">
        <f>F123-C_Financier!F10</f>
        <v>0</v>
      </c>
      <c r="G207" s="237">
        <f>G123-C_Financier!G10</f>
        <v>0</v>
      </c>
      <c r="H207" s="237">
        <f>H123-C_Financier!H10</f>
        <v>0</v>
      </c>
      <c r="I207" s="237">
        <f>I123-C_Financier!I10</f>
        <v>0</v>
      </c>
      <c r="J207" s="292">
        <f>IFERROR(J123-C_Financier!J10,"Erreur")</f>
        <v>0</v>
      </c>
      <c r="K207" s="12"/>
      <c r="L207" s="138"/>
      <c r="M207" s="12"/>
      <c r="N207" s="12"/>
      <c r="O207" s="12"/>
      <c r="P207" s="12"/>
      <c r="Q207" s="12"/>
      <c r="R207" s="12"/>
      <c r="S207" s="12"/>
      <c r="T207" s="12"/>
      <c r="U207" s="12"/>
      <c r="V207" s="12"/>
      <c r="W207" s="12"/>
      <c r="X207" s="12"/>
      <c r="Y207" s="12"/>
      <c r="Z207" s="12"/>
    </row>
    <row r="208" spans="1:26" ht="12.75" customHeight="1" x14ac:dyDescent="0.15">
      <c r="A208" s="12"/>
      <c r="B208" s="236" t="str">
        <f>$A$306</f>
        <v>Impôts des sociétés</v>
      </c>
      <c r="C208" s="237">
        <f>C124-C_Financier!C11</f>
        <v>0</v>
      </c>
      <c r="D208" s="237">
        <f>D124-C_Financier!D11</f>
        <v>0</v>
      </c>
      <c r="E208" s="237">
        <f>E124-C_Financier!E11</f>
        <v>1661.2000000000007</v>
      </c>
      <c r="F208" s="237">
        <f>F124-C_Financier!F11</f>
        <v>2727.26</v>
      </c>
      <c r="G208" s="237">
        <f>G124-C_Financier!G11</f>
        <v>3206.9230000000007</v>
      </c>
      <c r="H208" s="237">
        <f>H124-C_Financier!H11</f>
        <v>3437.8031499999997</v>
      </c>
      <c r="I208" s="237">
        <f>I124-C_Financier!I11</f>
        <v>3569.9535775000004</v>
      </c>
      <c r="J208" s="292">
        <f>IFERROR(J124-C_Financier!J11,"Erreur")</f>
        <v>4.1279699400234691</v>
      </c>
      <c r="K208" s="12"/>
      <c r="L208" s="138"/>
      <c r="M208" s="12"/>
      <c r="N208" s="12"/>
      <c r="O208" s="12"/>
      <c r="P208" s="12"/>
      <c r="Q208" s="12"/>
      <c r="R208" s="12"/>
      <c r="S208" s="12"/>
      <c r="T208" s="12"/>
      <c r="U208" s="12"/>
      <c r="V208" s="12"/>
      <c r="W208" s="12"/>
      <c r="X208" s="12"/>
      <c r="Y208" s="12"/>
      <c r="Z208" s="12"/>
    </row>
    <row r="209" spans="1:26" ht="12.75" customHeight="1" x14ac:dyDescent="0.15">
      <c r="A209" s="12"/>
      <c r="B209" s="236" t="str">
        <f>$A$307</f>
        <v>Impôt foncier scolaire</v>
      </c>
      <c r="C209" s="237">
        <f>C125-C_Financier!C12</f>
        <v>0</v>
      </c>
      <c r="D209" s="237">
        <f>D125-C_Financier!D12</f>
        <v>0</v>
      </c>
      <c r="E209" s="237">
        <f>E125-C_Financier!E12</f>
        <v>0</v>
      </c>
      <c r="F209" s="237">
        <f>F125-C_Financier!F12</f>
        <v>0</v>
      </c>
      <c r="G209" s="237">
        <f>G125-C_Financier!G12</f>
        <v>0</v>
      </c>
      <c r="H209" s="237">
        <f>H125-C_Financier!H12</f>
        <v>0</v>
      </c>
      <c r="I209" s="237">
        <f>I125-C_Financier!I12</f>
        <v>0</v>
      </c>
      <c r="J209" s="292">
        <f>IFERROR(J125-C_Financier!J12,"Erreur")</f>
        <v>0</v>
      </c>
      <c r="K209" s="12"/>
      <c r="L209" s="138"/>
      <c r="M209" s="12"/>
      <c r="N209" s="12"/>
      <c r="O209" s="12"/>
      <c r="P209" s="12"/>
      <c r="Q209" s="12"/>
      <c r="R209" s="12"/>
      <c r="S209" s="12"/>
      <c r="T209" s="12"/>
      <c r="U209" s="12"/>
      <c r="V209" s="12"/>
      <c r="W209" s="12"/>
      <c r="X209" s="12"/>
      <c r="Y209" s="12"/>
      <c r="Z209" s="12"/>
    </row>
    <row r="210" spans="1:26" ht="12.75" customHeight="1" x14ac:dyDescent="0.15">
      <c r="A210" s="12"/>
      <c r="B210" s="236" t="str">
        <f>$A$308</f>
        <v>Taxes à la consommation</v>
      </c>
      <c r="C210" s="237">
        <f>C126-C_Financier!C13</f>
        <v>0</v>
      </c>
      <c r="D210" s="237">
        <f>D126-C_Financier!D13</f>
        <v>0</v>
      </c>
      <c r="E210" s="237">
        <f>E126-C_Financier!E13</f>
        <v>628.42499999999927</v>
      </c>
      <c r="F210" s="237">
        <f>F126-C_Financier!F13</f>
        <v>454.77500000000146</v>
      </c>
      <c r="G210" s="237">
        <f>G126-C_Financier!G13</f>
        <v>379.59999999999854</v>
      </c>
      <c r="H210" s="237">
        <f>H126-C_Financier!H13</f>
        <v>394.78399999999965</v>
      </c>
      <c r="I210" s="237">
        <f>I126-C_Financier!I13</f>
        <v>410.57535999999891</v>
      </c>
      <c r="J210" s="292">
        <f>IFERROR(J126-C_Financier!J13,"Erreur")</f>
        <v>0.2368859305673654</v>
      </c>
      <c r="K210" s="12"/>
      <c r="L210" s="138"/>
      <c r="M210" s="12"/>
      <c r="N210" s="12"/>
      <c r="O210" s="12"/>
      <c r="P210" s="12"/>
      <c r="Q210" s="12"/>
      <c r="R210" s="12"/>
      <c r="S210" s="12"/>
      <c r="T210" s="12"/>
      <c r="U210" s="12"/>
      <c r="V210" s="12"/>
      <c r="W210" s="12"/>
      <c r="X210" s="12"/>
      <c r="Y210" s="12"/>
      <c r="Z210" s="12"/>
    </row>
    <row r="211" spans="1:26" ht="12.75" customHeight="1" x14ac:dyDescent="0.15">
      <c r="A211" s="12"/>
      <c r="B211" s="236" t="str">
        <f>$A$309</f>
        <v>Droits et permis</v>
      </c>
      <c r="C211" s="237">
        <f>C127-C_Financier!C14</f>
        <v>0</v>
      </c>
      <c r="D211" s="237">
        <f>D127-C_Financier!D14</f>
        <v>0</v>
      </c>
      <c r="E211" s="237">
        <f>E127-C_Financier!E14</f>
        <v>0</v>
      </c>
      <c r="F211" s="237">
        <f>F127-C_Financier!F14</f>
        <v>0</v>
      </c>
      <c r="G211" s="237">
        <f>G127-C_Financier!G14</f>
        <v>0</v>
      </c>
      <c r="H211" s="237">
        <f>H127-C_Financier!H14</f>
        <v>0</v>
      </c>
      <c r="I211" s="237">
        <f>I127-C_Financier!I14</f>
        <v>0</v>
      </c>
      <c r="J211" s="292">
        <f>IFERROR(J127-C_Financier!J14,"Erreur")</f>
        <v>0</v>
      </c>
      <c r="K211" s="12"/>
      <c r="L211" s="138"/>
      <c r="M211" s="12"/>
      <c r="N211" s="12"/>
      <c r="O211" s="12"/>
      <c r="P211" s="12"/>
      <c r="Q211" s="12"/>
      <c r="R211" s="12"/>
      <c r="S211" s="12"/>
      <c r="T211" s="12"/>
      <c r="U211" s="12"/>
      <c r="V211" s="12"/>
      <c r="W211" s="12"/>
      <c r="X211" s="12"/>
      <c r="Y211" s="12"/>
      <c r="Z211" s="12"/>
    </row>
    <row r="212" spans="1:26" ht="12.75" customHeight="1" x14ac:dyDescent="0.15">
      <c r="A212" s="12"/>
      <c r="B212" s="236" t="str">
        <f>$A$310</f>
        <v>Revenus divers</v>
      </c>
      <c r="C212" s="237">
        <f>C128-C_Financier!C15</f>
        <v>0</v>
      </c>
      <c r="D212" s="237">
        <f>D128-C_Financier!D15</f>
        <v>0</v>
      </c>
      <c r="E212" s="237">
        <f>E128-C_Financier!E15</f>
        <v>0</v>
      </c>
      <c r="F212" s="237">
        <f>F128-C_Financier!F15</f>
        <v>0</v>
      </c>
      <c r="G212" s="237">
        <f>G128-C_Financier!G15</f>
        <v>0</v>
      </c>
      <c r="H212" s="237">
        <f>H128-C_Financier!H15</f>
        <v>0</v>
      </c>
      <c r="I212" s="237">
        <f>I128-C_Financier!I15</f>
        <v>0</v>
      </c>
      <c r="J212" s="292">
        <f>IFERROR(J128-C_Financier!J15,"Erreur")</f>
        <v>0</v>
      </c>
      <c r="K212" s="12"/>
      <c r="L212" s="138"/>
      <c r="M212" s="12"/>
      <c r="N212" s="12"/>
      <c r="O212" s="12"/>
      <c r="P212" s="12"/>
      <c r="Q212" s="12"/>
      <c r="R212" s="12"/>
      <c r="S212" s="12"/>
      <c r="T212" s="12"/>
      <c r="U212" s="12"/>
      <c r="V212" s="12"/>
      <c r="W212" s="12"/>
      <c r="X212" s="12"/>
      <c r="Y212" s="12"/>
      <c r="Z212" s="12"/>
    </row>
    <row r="213" spans="1:26" ht="12.75" customHeight="1" x14ac:dyDescent="0.15">
      <c r="A213" s="12"/>
      <c r="B213" s="236" t="str">
        <f>$A$311</f>
        <v>Entreprises du gouvernement</v>
      </c>
      <c r="C213" s="239">
        <f>C129-C_Financier!C16</f>
        <v>0</v>
      </c>
      <c r="D213" s="239">
        <f>D129-C_Financier!D16</f>
        <v>0</v>
      </c>
      <c r="E213" s="239">
        <f>E129-C_Financier!E16</f>
        <v>0</v>
      </c>
      <c r="F213" s="239">
        <f>F129-C_Financier!F16</f>
        <v>0</v>
      </c>
      <c r="G213" s="239">
        <f>G129-C_Financier!G16</f>
        <v>0</v>
      </c>
      <c r="H213" s="239">
        <f>H129-C_Financier!H16</f>
        <v>0</v>
      </c>
      <c r="I213" s="239">
        <f>I129-C_Financier!I16</f>
        <v>0</v>
      </c>
      <c r="J213" s="293">
        <f>IFERROR(J129-C_Financier!J16,"Erreur")</f>
        <v>0</v>
      </c>
      <c r="K213" s="12"/>
      <c r="L213" s="138"/>
      <c r="M213" s="12"/>
      <c r="N213" s="12"/>
      <c r="O213" s="12"/>
      <c r="P213" s="12"/>
      <c r="Q213" s="12"/>
      <c r="R213" s="12"/>
      <c r="S213" s="12"/>
      <c r="T213" s="12"/>
      <c r="U213" s="12"/>
      <c r="V213" s="12"/>
      <c r="W213" s="12"/>
      <c r="X213" s="12"/>
      <c r="Y213" s="12"/>
      <c r="Z213" s="12"/>
    </row>
    <row r="214" spans="1:26" ht="12.75" customHeight="1" x14ac:dyDescent="0.15">
      <c r="A214" s="12"/>
      <c r="B214" s="247" t="s">
        <v>35</v>
      </c>
      <c r="C214" s="248">
        <f>C130-C_Financier!C18</f>
        <v>0</v>
      </c>
      <c r="D214" s="248">
        <f>D130-C_Financier!D18</f>
        <v>0</v>
      </c>
      <c r="E214" s="248">
        <f>E130-C_Financier!E18</f>
        <v>979.625</v>
      </c>
      <c r="F214" s="248">
        <f>F130-C_Financier!F18</f>
        <v>2124.9775000000081</v>
      </c>
      <c r="G214" s="248">
        <f>G130-C_Financier!G18</f>
        <v>2840.4579999999842</v>
      </c>
      <c r="H214" s="248">
        <f>H130-C_Financier!H18</f>
        <v>3108.96302499999</v>
      </c>
      <c r="I214" s="248">
        <f>I130-C_Financier!I18</f>
        <v>3276.5465887500031</v>
      </c>
      <c r="J214" s="249"/>
      <c r="K214" s="12"/>
      <c r="L214" s="138"/>
      <c r="M214" s="12"/>
      <c r="N214" s="12"/>
      <c r="O214" s="12"/>
      <c r="P214" s="12"/>
      <c r="Q214" s="12"/>
      <c r="R214" s="12"/>
      <c r="S214" s="12"/>
      <c r="T214" s="12"/>
      <c r="U214" s="12"/>
      <c r="V214" s="12"/>
      <c r="W214" s="12"/>
      <c r="X214" s="12"/>
      <c r="Y214" s="12"/>
      <c r="Z214" s="12"/>
    </row>
    <row r="215" spans="1:26" ht="12.75" customHeight="1" x14ac:dyDescent="0.15">
      <c r="A215" s="12"/>
      <c r="B215" s="294" t="s">
        <v>36</v>
      </c>
      <c r="C215" s="292"/>
      <c r="D215" s="292">
        <f>D131-C_Financier!D19</f>
        <v>0</v>
      </c>
      <c r="E215" s="292">
        <f>E131-C_Financier!E19</f>
        <v>0.88854069350844966</v>
      </c>
      <c r="F215" s="292">
        <f>F131-C_Financier!F19</f>
        <v>0.95839188417557386</v>
      </c>
      <c r="G215" s="292">
        <f>G131-C_Financier!G19</f>
        <v>0.52432288678791439</v>
      </c>
      <c r="H215" s="292">
        <f>H131-C_Financier!H19</f>
        <v>0.1428449092939581</v>
      </c>
      <c r="I215" s="292">
        <f>I131-C_Financier!I19</f>
        <v>4.751409943879592E-2</v>
      </c>
      <c r="J215" s="292">
        <f>IFERROR(J131-C_Financier!J19,"Erreur")</f>
        <v>0.43596562740431111</v>
      </c>
      <c r="K215" s="12"/>
      <c r="L215" s="138"/>
      <c r="M215" s="12"/>
      <c r="N215" s="12"/>
      <c r="O215" s="12"/>
      <c r="P215" s="12"/>
      <c r="Q215" s="12"/>
      <c r="R215" s="12"/>
      <c r="S215" s="12"/>
      <c r="T215" s="12"/>
      <c r="U215" s="12"/>
      <c r="V215" s="12"/>
      <c r="W215" s="12"/>
      <c r="X215" s="12"/>
      <c r="Y215" s="12"/>
      <c r="Z215" s="12"/>
    </row>
    <row r="216" spans="1:26" ht="12.75" customHeight="1" x14ac:dyDescent="0.15">
      <c r="A216" s="12"/>
      <c r="B216" s="247" t="str">
        <f>$A$312</f>
        <v>Transferts fédéraux</v>
      </c>
      <c r="C216" s="248">
        <f>C132-C_Financier!C21</f>
        <v>0</v>
      </c>
      <c r="D216" s="248">
        <f>D132-C_Financier!D21</f>
        <v>0</v>
      </c>
      <c r="E216" s="248">
        <f>E132-C_Financier!E21</f>
        <v>0</v>
      </c>
      <c r="F216" s="248">
        <f>F132-C_Financier!F21</f>
        <v>0</v>
      </c>
      <c r="G216" s="248">
        <f>G132-C_Financier!G21</f>
        <v>0</v>
      </c>
      <c r="H216" s="248">
        <f>H132-C_Financier!H21</f>
        <v>0</v>
      </c>
      <c r="I216" s="248">
        <f>I132-C_Financier!I21</f>
        <v>0</v>
      </c>
      <c r="J216" s="249"/>
      <c r="K216" s="12"/>
      <c r="L216" s="138"/>
      <c r="M216" s="12"/>
      <c r="N216" s="12"/>
      <c r="O216" s="12"/>
      <c r="P216" s="12"/>
      <c r="Q216" s="12"/>
      <c r="R216" s="12"/>
      <c r="S216" s="12"/>
      <c r="T216" s="12"/>
      <c r="U216" s="12"/>
      <c r="V216" s="12"/>
      <c r="W216" s="12"/>
      <c r="X216" s="12"/>
      <c r="Y216" s="12"/>
      <c r="Z216" s="12"/>
    </row>
    <row r="217" spans="1:26" ht="12.75" customHeight="1" x14ac:dyDescent="0.15">
      <c r="A217" s="12"/>
      <c r="B217" s="250" t="s">
        <v>36</v>
      </c>
      <c r="C217" s="251"/>
      <c r="D217" s="251">
        <f>D133-C_Financier!D22</f>
        <v>0</v>
      </c>
      <c r="E217" s="251">
        <f>E133-C_Financier!E22</f>
        <v>0</v>
      </c>
      <c r="F217" s="251">
        <f>F133-C_Financier!F22</f>
        <v>0</v>
      </c>
      <c r="G217" s="251">
        <f>G133-C_Financier!G22</f>
        <v>0</v>
      </c>
      <c r="H217" s="251">
        <f>H133-C_Financier!H22</f>
        <v>0</v>
      </c>
      <c r="I217" s="251">
        <f>I133-C_Financier!I22</f>
        <v>0</v>
      </c>
      <c r="J217" s="251">
        <f>IFERROR(J133-C_Financier!J22,"Erreur")</f>
        <v>0</v>
      </c>
      <c r="K217" s="12"/>
      <c r="L217" s="138"/>
      <c r="M217" s="12"/>
      <c r="N217" s="12"/>
      <c r="O217" s="12"/>
      <c r="P217" s="12"/>
      <c r="Q217" s="12"/>
      <c r="R217" s="12"/>
      <c r="S217" s="12"/>
      <c r="T217" s="12"/>
      <c r="U217" s="12"/>
      <c r="V217" s="12"/>
      <c r="W217" s="12"/>
      <c r="X217" s="12"/>
      <c r="Y217" s="12"/>
      <c r="Z217" s="12"/>
    </row>
    <row r="218" spans="1:26" ht="12.75" customHeight="1" x14ac:dyDescent="0.15">
      <c r="A218" s="12"/>
      <c r="B218" s="12"/>
      <c r="C218" s="12"/>
      <c r="D218" s="12"/>
      <c r="E218" s="108"/>
      <c r="F218" s="12"/>
      <c r="G218" s="12"/>
      <c r="H218" s="12"/>
      <c r="I218" s="12"/>
      <c r="J218" s="211"/>
      <c r="K218" s="12"/>
      <c r="L218" s="138"/>
      <c r="M218" s="12"/>
      <c r="N218" s="12"/>
      <c r="O218" s="12"/>
      <c r="P218" s="12"/>
      <c r="Q218" s="12"/>
      <c r="R218" s="12"/>
      <c r="S218" s="12"/>
      <c r="T218" s="12"/>
      <c r="U218" s="12"/>
      <c r="V218" s="12"/>
      <c r="W218" s="12"/>
      <c r="X218" s="12"/>
      <c r="Y218" s="12"/>
      <c r="Z218" s="12"/>
    </row>
    <row r="219" spans="1:26" ht="12.75" customHeight="1" x14ac:dyDescent="0.15">
      <c r="A219" s="12"/>
      <c r="B219" s="50" t="s">
        <v>218</v>
      </c>
      <c r="C219" s="252">
        <f>Simulation!C135-C_Financier!C53</f>
        <v>0</v>
      </c>
      <c r="D219" s="252">
        <f>Simulation!D135-C_Financier!D53</f>
        <v>0</v>
      </c>
      <c r="E219" s="252">
        <f>Simulation!E135-C_Financier!E53</f>
        <v>-6899.6000000000058</v>
      </c>
      <c r="F219" s="252">
        <f>Simulation!F135-C_Financier!F53</f>
        <v>-5039.4974999999977</v>
      </c>
      <c r="G219" s="252">
        <f>Simulation!G135-C_Financier!G53</f>
        <v>-5522.7499374999898</v>
      </c>
      <c r="H219" s="252">
        <f>Simulation!H135-C_Financier!H53</f>
        <v>-5975.5111859375029</v>
      </c>
      <c r="I219" s="252">
        <f>Simulation!I135-C_Financier!I53</f>
        <v>-7042.1149387109326</v>
      </c>
      <c r="J219" s="295"/>
      <c r="K219" s="12"/>
      <c r="L219" s="138"/>
      <c r="M219" s="12"/>
      <c r="N219" s="12"/>
      <c r="O219" s="12"/>
      <c r="P219" s="12"/>
      <c r="Q219" s="12"/>
      <c r="R219" s="12"/>
      <c r="S219" s="12"/>
      <c r="T219" s="12"/>
      <c r="U219" s="12"/>
      <c r="V219" s="12"/>
      <c r="W219" s="12"/>
      <c r="X219" s="12"/>
      <c r="Y219" s="12"/>
      <c r="Z219" s="12"/>
    </row>
    <row r="220" spans="1:26" ht="12.75" customHeight="1" x14ac:dyDescent="0.15">
      <c r="A220" s="12"/>
      <c r="B220" s="70" t="s">
        <v>36</v>
      </c>
      <c r="C220" s="56"/>
      <c r="D220" s="56">
        <f>D136-C_Financier!D54</f>
        <v>0</v>
      </c>
      <c r="E220" s="56">
        <f>E136-C_Financier!E54</f>
        <v>5.4374226698505055</v>
      </c>
      <c r="F220" s="56">
        <f>F136-C_Financier!F54</f>
        <v>-1.4568052638927207</v>
      </c>
      <c r="G220" s="56">
        <f>G136-C_Financier!G54</f>
        <v>0.2122009014207733</v>
      </c>
      <c r="H220" s="56">
        <f>H136-C_Financier!H54</f>
        <v>0.14961243600886842</v>
      </c>
      <c r="I220" s="56">
        <f>I136-C_Financier!I54</f>
        <v>0.55617777043583772</v>
      </c>
      <c r="J220" s="56">
        <f>IFERROR(J136-C_Financier!J54,"Erreur")</f>
        <v>0.76735890800214701</v>
      </c>
      <c r="K220" s="12"/>
      <c r="L220" s="138"/>
      <c r="M220" s="12"/>
      <c r="N220" s="12"/>
      <c r="O220" s="12"/>
      <c r="P220" s="12"/>
      <c r="Q220" s="12"/>
      <c r="R220" s="12"/>
      <c r="S220" s="12"/>
      <c r="T220" s="12"/>
      <c r="U220" s="12"/>
      <c r="V220" s="12"/>
      <c r="W220" s="12"/>
      <c r="X220" s="12"/>
      <c r="Y220" s="12"/>
      <c r="Z220" s="12"/>
    </row>
    <row r="221" spans="1:26" ht="12.75" customHeight="1" x14ac:dyDescent="0.15">
      <c r="A221" s="12"/>
      <c r="B221" s="253" t="str">
        <f>$A$289</f>
        <v>Santé et services sociaux</v>
      </c>
      <c r="C221" s="254">
        <f>C137-C_Financier!C27</f>
        <v>0</v>
      </c>
      <c r="D221" s="254">
        <f>D137-C_Financier!D27</f>
        <v>0</v>
      </c>
      <c r="E221" s="254">
        <f>E137-C_Financier!E27</f>
        <v>-6540</v>
      </c>
      <c r="F221" s="254">
        <f>F137-C_Financier!F27</f>
        <v>43</v>
      </c>
      <c r="G221" s="254">
        <f>G137-C_Financier!G27</f>
        <v>-180.125</v>
      </c>
      <c r="H221" s="254"/>
      <c r="I221" s="254"/>
      <c r="J221" s="296"/>
      <c r="K221" s="12"/>
      <c r="L221" s="138"/>
      <c r="M221" s="12"/>
      <c r="N221" s="12"/>
      <c r="O221" s="12"/>
      <c r="P221" s="12"/>
      <c r="Q221" s="12"/>
      <c r="R221" s="12"/>
      <c r="S221" s="12"/>
      <c r="T221" s="12"/>
      <c r="U221" s="12"/>
      <c r="V221" s="12"/>
      <c r="W221" s="12"/>
      <c r="X221" s="12"/>
      <c r="Y221" s="12"/>
      <c r="Z221" s="12"/>
    </row>
    <row r="222" spans="1:26" ht="12.75" customHeight="1" x14ac:dyDescent="0.15">
      <c r="A222" s="12"/>
      <c r="B222" s="256" t="s">
        <v>36</v>
      </c>
      <c r="C222" s="258"/>
      <c r="D222" s="257">
        <f>D138-C_Financier!D28</f>
        <v>0</v>
      </c>
      <c r="E222" s="257">
        <f>E138-C_Financier!E28</f>
        <v>12.972123818326793</v>
      </c>
      <c r="F222" s="257">
        <f>F138-C_Financier!F28</f>
        <v>-11.701966766817478</v>
      </c>
      <c r="G222" s="257">
        <f>G138-C_Financier!G28</f>
        <v>0.38305901544646304</v>
      </c>
      <c r="H222" s="258"/>
      <c r="I222" s="258"/>
      <c r="J222" s="297"/>
      <c r="K222" s="12"/>
      <c r="L222" s="138"/>
      <c r="M222" s="12"/>
      <c r="N222" s="12"/>
      <c r="O222" s="12"/>
      <c r="P222" s="12"/>
      <c r="Q222" s="12"/>
      <c r="R222" s="12"/>
      <c r="S222" s="12"/>
      <c r="T222" s="12"/>
      <c r="U222" s="12"/>
      <c r="V222" s="12"/>
      <c r="W222" s="12"/>
      <c r="X222" s="12"/>
      <c r="Y222" s="12"/>
      <c r="Z222" s="12"/>
    </row>
    <row r="223" spans="1:26" ht="12.75" customHeight="1" x14ac:dyDescent="0.15">
      <c r="A223" s="12"/>
      <c r="B223" s="260" t="str">
        <f>$A$290</f>
        <v>Éducation</v>
      </c>
      <c r="C223" s="261">
        <f>C139-C_Financier!C29</f>
        <v>0</v>
      </c>
      <c r="D223" s="261">
        <f>D139-C_Financier!D29</f>
        <v>0</v>
      </c>
      <c r="E223" s="261">
        <f>E139-C_Financier!E29</f>
        <v>9.4000000000014552</v>
      </c>
      <c r="F223" s="261">
        <f>F139-C_Financier!F29</f>
        <v>-134.79999999999927</v>
      </c>
      <c r="G223" s="261">
        <f>G139-C_Financier!G29</f>
        <v>-143.31000000000131</v>
      </c>
      <c r="H223" s="261"/>
      <c r="I223" s="261"/>
      <c r="J223" s="297"/>
      <c r="K223" s="12"/>
      <c r="L223" s="138"/>
      <c r="M223" s="12"/>
      <c r="N223" s="12"/>
      <c r="O223" s="12"/>
      <c r="P223" s="12"/>
      <c r="Q223" s="12"/>
      <c r="R223" s="12"/>
      <c r="S223" s="12"/>
      <c r="T223" s="12"/>
      <c r="U223" s="12"/>
      <c r="V223" s="12"/>
      <c r="W223" s="12"/>
      <c r="X223" s="12"/>
      <c r="Y223" s="12"/>
      <c r="Z223" s="12"/>
    </row>
    <row r="224" spans="1:26" ht="12.75" customHeight="1" x14ac:dyDescent="0.15">
      <c r="A224" s="12"/>
      <c r="B224" s="256" t="s">
        <v>36</v>
      </c>
      <c r="C224" s="258"/>
      <c r="D224" s="257">
        <f>D140-C_Financier!D30</f>
        <v>0</v>
      </c>
      <c r="E224" s="257">
        <f>E140-C_Financier!E30</f>
        <v>-5.3241199626199887E-2</v>
      </c>
      <c r="F224" s="257">
        <f>F140-C_Financier!F30</f>
        <v>0.75357967945032556</v>
      </c>
      <c r="G224" s="257">
        <f>G140-C_Financier!G30</f>
        <v>1.8920089944685969E-2</v>
      </c>
      <c r="H224" s="258"/>
      <c r="I224" s="258"/>
      <c r="J224" s="297"/>
      <c r="K224" s="12"/>
      <c r="L224" s="138"/>
      <c r="M224" s="12"/>
      <c r="N224" s="12"/>
      <c r="O224" s="12"/>
      <c r="P224" s="12"/>
      <c r="Q224" s="12"/>
      <c r="R224" s="12"/>
      <c r="S224" s="12"/>
      <c r="T224" s="12"/>
      <c r="U224" s="12"/>
      <c r="V224" s="12"/>
      <c r="W224" s="12"/>
      <c r="X224" s="12"/>
      <c r="Y224" s="12"/>
      <c r="Z224" s="12"/>
    </row>
    <row r="225" spans="1:26" ht="12.75" customHeight="1" x14ac:dyDescent="0.15">
      <c r="A225" s="12"/>
      <c r="B225" s="260" t="str">
        <f>$A$291</f>
        <v>Enseignement supérieur</v>
      </c>
      <c r="C225" s="261">
        <f>C141-C_Financier!C31</f>
        <v>0</v>
      </c>
      <c r="D225" s="261">
        <f>D141-C_Financier!D31</f>
        <v>0</v>
      </c>
      <c r="E225" s="261">
        <f>E141-C_Financier!E31</f>
        <v>0</v>
      </c>
      <c r="F225" s="261">
        <f>F141-C_Financier!F31</f>
        <v>-50</v>
      </c>
      <c r="G225" s="261">
        <f>G141-C_Financier!G31</f>
        <v>-51.25</v>
      </c>
      <c r="H225" s="261"/>
      <c r="I225" s="261"/>
      <c r="J225" s="297"/>
      <c r="K225" s="12"/>
      <c r="L225" s="138"/>
      <c r="M225" s="12"/>
      <c r="N225" s="12"/>
      <c r="O225" s="12"/>
      <c r="P225" s="12"/>
      <c r="Q225" s="12"/>
      <c r="R225" s="12"/>
      <c r="S225" s="12"/>
      <c r="T225" s="12"/>
      <c r="U225" s="12"/>
      <c r="V225" s="12"/>
      <c r="W225" s="12"/>
      <c r="X225" s="12"/>
      <c r="Y225" s="12"/>
      <c r="Z225" s="12"/>
    </row>
    <row r="226" spans="1:26" ht="12.75" customHeight="1" x14ac:dyDescent="0.15">
      <c r="A226" s="12"/>
      <c r="B226" s="256" t="s">
        <v>36</v>
      </c>
      <c r="C226" s="258"/>
      <c r="D226" s="257">
        <f>D142-C_Financier!D32</f>
        <v>0</v>
      </c>
      <c r="E226" s="257">
        <f>E142-C_Financier!E32</f>
        <v>0</v>
      </c>
      <c r="F226" s="257">
        <f>F142-C_Financier!F32</f>
        <v>0.48871078095982057</v>
      </c>
      <c r="G226" s="257">
        <f>G142-C_Financier!G32</f>
        <v>-3.5564192472463674E-3</v>
      </c>
      <c r="H226" s="258"/>
      <c r="I226" s="258"/>
      <c r="J226" s="297"/>
      <c r="K226" s="12"/>
      <c r="L226" s="138"/>
      <c r="M226" s="12"/>
      <c r="N226" s="12"/>
      <c r="O226" s="12"/>
      <c r="P226" s="12"/>
      <c r="Q226" s="12"/>
      <c r="R226" s="12"/>
      <c r="S226" s="12"/>
      <c r="T226" s="12"/>
      <c r="U226" s="12"/>
      <c r="V226" s="12"/>
      <c r="W226" s="12"/>
      <c r="X226" s="12"/>
      <c r="Y226" s="12"/>
      <c r="Z226" s="12"/>
    </row>
    <row r="227" spans="1:26" ht="12.75" customHeight="1" x14ac:dyDescent="0.15">
      <c r="A227" s="12"/>
      <c r="B227" s="260" t="str">
        <f>$A$292</f>
        <v>Famille</v>
      </c>
      <c r="C227" s="261">
        <f>C143-C_Financier!C33</f>
        <v>0</v>
      </c>
      <c r="D227" s="261">
        <f>D143-C_Financier!D33</f>
        <v>0</v>
      </c>
      <c r="E227" s="261">
        <f>E143-C_Financier!E33</f>
        <v>0</v>
      </c>
      <c r="F227" s="261">
        <f>F143-C_Financier!F33</f>
        <v>-260</v>
      </c>
      <c r="G227" s="261">
        <f>G143-C_Financier!G33</f>
        <v>-420</v>
      </c>
      <c r="H227" s="261"/>
      <c r="I227" s="261"/>
      <c r="J227" s="297"/>
      <c r="K227" s="12"/>
      <c r="L227" s="138"/>
      <c r="M227" s="12"/>
      <c r="N227" s="12"/>
      <c r="O227" s="12"/>
      <c r="P227" s="12"/>
      <c r="Q227" s="12"/>
      <c r="R227" s="12"/>
      <c r="S227" s="12"/>
      <c r="T227" s="12"/>
      <c r="U227" s="12"/>
      <c r="V227" s="12"/>
      <c r="W227" s="12"/>
      <c r="X227" s="12"/>
      <c r="Y227" s="12"/>
      <c r="Z227" s="12"/>
    </row>
    <row r="228" spans="1:26" ht="12.75" customHeight="1" x14ac:dyDescent="0.15">
      <c r="A228" s="12"/>
      <c r="B228" s="256" t="s">
        <v>36</v>
      </c>
      <c r="C228" s="258"/>
      <c r="D228" s="257">
        <f>D144-C_Financier!D34</f>
        <v>0</v>
      </c>
      <c r="E228" s="257">
        <f>E144-C_Financier!E34</f>
        <v>0</v>
      </c>
      <c r="F228" s="257">
        <f>F144-C_Financier!F34</f>
        <v>3.2258064516128968</v>
      </c>
      <c r="G228" s="257">
        <f>G144-C_Financier!G34</f>
        <v>1.8265004416176964</v>
      </c>
      <c r="H228" s="258"/>
      <c r="I228" s="258"/>
      <c r="J228" s="297"/>
      <c r="K228" s="12"/>
      <c r="L228" s="138"/>
      <c r="M228" s="12"/>
      <c r="N228" s="12"/>
      <c r="O228" s="12"/>
      <c r="P228" s="12"/>
      <c r="Q228" s="12"/>
      <c r="R228" s="12"/>
      <c r="S228" s="12"/>
      <c r="T228" s="12"/>
      <c r="U228" s="12"/>
      <c r="V228" s="12"/>
      <c r="W228" s="12"/>
      <c r="X228" s="12"/>
      <c r="Y228" s="12"/>
      <c r="Z228" s="12"/>
    </row>
    <row r="229" spans="1:26" ht="12.75" customHeight="1" x14ac:dyDescent="0.15">
      <c r="A229" s="12"/>
      <c r="B229" s="260" t="str">
        <f>$A$293</f>
        <v>Transports</v>
      </c>
      <c r="C229" s="261">
        <f>C145-C_Financier!C35</f>
        <v>0</v>
      </c>
      <c r="D229" s="261">
        <f>D145-C_Financier!D35</f>
        <v>0</v>
      </c>
      <c r="E229" s="261">
        <f>E145-C_Financier!E35</f>
        <v>0</v>
      </c>
      <c r="F229" s="261">
        <f>F145-C_Financier!F35</f>
        <v>-180</v>
      </c>
      <c r="G229" s="261">
        <f>G145-C_Financier!G35</f>
        <v>-189</v>
      </c>
      <c r="H229" s="261"/>
      <c r="I229" s="261"/>
      <c r="J229" s="297"/>
      <c r="K229" s="12"/>
      <c r="L229" s="138"/>
      <c r="M229" s="12"/>
      <c r="N229" s="12"/>
      <c r="O229" s="12"/>
      <c r="P229" s="12"/>
      <c r="Q229" s="12"/>
      <c r="R229" s="12"/>
      <c r="S229" s="12"/>
      <c r="T229" s="12"/>
      <c r="U229" s="12"/>
      <c r="V229" s="12"/>
      <c r="W229" s="12"/>
      <c r="X229" s="12"/>
      <c r="Y229" s="12"/>
      <c r="Z229" s="12"/>
    </row>
    <row r="230" spans="1:26" ht="12.75" customHeight="1" x14ac:dyDescent="0.15">
      <c r="A230" s="12"/>
      <c r="B230" s="256" t="s">
        <v>36</v>
      </c>
      <c r="C230" s="258"/>
      <c r="D230" s="257">
        <f>D146-C_Financier!D36</f>
        <v>0</v>
      </c>
      <c r="E230" s="257">
        <f>E146-C_Financier!E36</f>
        <v>0</v>
      </c>
      <c r="F230" s="257">
        <f>F146-C_Financier!F36</f>
        <v>2.6565520905589182</v>
      </c>
      <c r="G230" s="257">
        <f>G146-C_Financier!G36</f>
        <v>-0.35521149742041302</v>
      </c>
      <c r="H230" s="258"/>
      <c r="I230" s="258"/>
      <c r="J230" s="297"/>
      <c r="K230" s="12"/>
      <c r="L230" s="138"/>
      <c r="M230" s="12"/>
      <c r="N230" s="12"/>
      <c r="O230" s="12"/>
      <c r="P230" s="12"/>
      <c r="Q230" s="12"/>
      <c r="R230" s="12"/>
      <c r="S230" s="12"/>
      <c r="T230" s="12"/>
      <c r="U230" s="12"/>
      <c r="V230" s="12"/>
      <c r="W230" s="12"/>
      <c r="X230" s="12"/>
      <c r="Y230" s="12"/>
      <c r="Z230" s="12"/>
    </row>
    <row r="231" spans="1:26" ht="12.75" customHeight="1" x14ac:dyDescent="0.15">
      <c r="A231" s="12"/>
      <c r="B231" s="260" t="str">
        <f>$A$294</f>
        <v>Travail, Emploi et Solidarité sociale</v>
      </c>
      <c r="C231" s="261">
        <f>C147-C_Financier!C37</f>
        <v>0</v>
      </c>
      <c r="D231" s="261">
        <f>D147-C_Financier!D37</f>
        <v>0</v>
      </c>
      <c r="E231" s="261">
        <f>E147-C_Financier!E37</f>
        <v>-100</v>
      </c>
      <c r="F231" s="261">
        <f>F147-C_Financier!F37</f>
        <v>-470</v>
      </c>
      <c r="G231" s="261">
        <f>G147-C_Financier!G37</f>
        <v>-493.25</v>
      </c>
      <c r="H231" s="261"/>
      <c r="I231" s="261"/>
      <c r="J231" s="297"/>
      <c r="K231" s="12"/>
      <c r="L231" s="138"/>
      <c r="M231" s="12"/>
      <c r="N231" s="12"/>
      <c r="O231" s="12"/>
      <c r="P231" s="12"/>
      <c r="Q231" s="12"/>
      <c r="R231" s="12"/>
      <c r="S231" s="12"/>
      <c r="T231" s="12"/>
      <c r="U231" s="12"/>
      <c r="V231" s="12"/>
      <c r="W231" s="12"/>
      <c r="X231" s="12"/>
      <c r="Y231" s="12"/>
      <c r="Z231" s="12"/>
    </row>
    <row r="232" spans="1:26" ht="12.75" customHeight="1" x14ac:dyDescent="0.15">
      <c r="A232" s="12"/>
      <c r="B232" s="256" t="s">
        <v>36</v>
      </c>
      <c r="C232" s="258"/>
      <c r="D232" s="257">
        <f>D148-C_Financier!D38</f>
        <v>0</v>
      </c>
      <c r="E232" s="257">
        <f>E148-C_Financier!E38</f>
        <v>1.1457509824814593</v>
      </c>
      <c r="F232" s="257">
        <f>F148-C_Financier!F38</f>
        <v>6.4454334991453379</v>
      </c>
      <c r="G232" s="257">
        <f>G148-C_Financier!G38</f>
        <v>0.44911126211658825</v>
      </c>
      <c r="H232" s="258"/>
      <c r="I232" s="258"/>
      <c r="J232" s="297"/>
      <c r="K232" s="12"/>
      <c r="L232" s="138"/>
      <c r="M232" s="12"/>
      <c r="N232" s="12"/>
      <c r="O232" s="12"/>
      <c r="P232" s="12"/>
      <c r="Q232" s="12"/>
      <c r="R232" s="12"/>
      <c r="S232" s="12"/>
      <c r="T232" s="12"/>
      <c r="U232" s="12"/>
      <c r="V232" s="12"/>
      <c r="W232" s="12"/>
      <c r="X232" s="12"/>
      <c r="Y232" s="12"/>
      <c r="Z232" s="12"/>
    </row>
    <row r="233" spans="1:26" ht="12.75" customHeight="1" x14ac:dyDescent="0.15">
      <c r="A233" s="12"/>
      <c r="B233" s="260" t="str">
        <f>$A$295</f>
        <v>Affaires municipales et Habitation</v>
      </c>
      <c r="C233" s="261">
        <f>C149-C_Financier!C39</f>
        <v>0</v>
      </c>
      <c r="D233" s="261">
        <f>D149-C_Financier!D39</f>
        <v>0</v>
      </c>
      <c r="E233" s="261">
        <f>E149-C_Financier!E39</f>
        <v>0</v>
      </c>
      <c r="F233" s="261">
        <f>F149-C_Financier!F39</f>
        <v>-806</v>
      </c>
      <c r="G233" s="261">
        <f>G149-C_Financier!G39</f>
        <v>-846.14999999999964</v>
      </c>
      <c r="H233" s="261"/>
      <c r="I233" s="261"/>
      <c r="J233" s="297"/>
      <c r="K233" s="12"/>
      <c r="L233" s="138"/>
      <c r="M233" s="12"/>
      <c r="N233" s="12"/>
      <c r="O233" s="12"/>
      <c r="P233" s="12"/>
      <c r="Q233" s="12"/>
      <c r="R233" s="12"/>
      <c r="S233" s="12"/>
      <c r="T233" s="12"/>
      <c r="U233" s="12"/>
      <c r="V233" s="12"/>
      <c r="W233" s="12"/>
      <c r="X233" s="12"/>
      <c r="Y233" s="12"/>
      <c r="Z233" s="12"/>
    </row>
    <row r="234" spans="1:26" ht="12.75" customHeight="1" x14ac:dyDescent="0.15">
      <c r="A234" s="12"/>
      <c r="B234" s="256" t="s">
        <v>36</v>
      </c>
      <c r="C234" s="258"/>
      <c r="D234" s="257">
        <f>D150-C_Financier!D40</f>
        <v>0</v>
      </c>
      <c r="E234" s="257">
        <f>E150-C_Financier!E40</f>
        <v>0</v>
      </c>
      <c r="F234" s="257">
        <f>F150-C_Financier!F40</f>
        <v>18.322345987724489</v>
      </c>
      <c r="G234" s="257">
        <f>G150-C_Financier!G40</f>
        <v>0.73377813628101762</v>
      </c>
      <c r="H234" s="258"/>
      <c r="I234" s="258"/>
      <c r="J234" s="297"/>
      <c r="K234" s="12"/>
      <c r="L234" s="138"/>
      <c r="M234" s="12"/>
      <c r="N234" s="12"/>
      <c r="O234" s="12"/>
      <c r="P234" s="12"/>
      <c r="Q234" s="12"/>
      <c r="R234" s="12"/>
      <c r="S234" s="12"/>
      <c r="T234" s="12"/>
      <c r="U234" s="12"/>
      <c r="V234" s="12"/>
      <c r="W234" s="12"/>
      <c r="X234" s="12"/>
      <c r="Y234" s="12"/>
      <c r="Z234" s="12"/>
    </row>
    <row r="235" spans="1:26" ht="12.75" customHeight="1" x14ac:dyDescent="0.15">
      <c r="A235" s="12"/>
      <c r="B235" s="260" t="str">
        <f>$A$296</f>
        <v>Économie et Innovation</v>
      </c>
      <c r="C235" s="261">
        <f>C151-C_Financier!C41</f>
        <v>0</v>
      </c>
      <c r="D235" s="261">
        <f>D151-C_Financier!D41</f>
        <v>0</v>
      </c>
      <c r="E235" s="261">
        <f>E151-C_Financier!E41</f>
        <v>0</v>
      </c>
      <c r="F235" s="261">
        <f>F151-C_Financier!F41</f>
        <v>0</v>
      </c>
      <c r="G235" s="261">
        <f>G151-C_Financier!G41</f>
        <v>0</v>
      </c>
      <c r="H235" s="261"/>
      <c r="I235" s="261"/>
      <c r="J235" s="297"/>
      <c r="K235" s="12"/>
      <c r="L235" s="138"/>
      <c r="M235" s="12"/>
      <c r="N235" s="12"/>
      <c r="O235" s="12"/>
      <c r="P235" s="12"/>
      <c r="Q235" s="12"/>
      <c r="R235" s="12"/>
      <c r="S235" s="12"/>
      <c r="T235" s="12"/>
      <c r="U235" s="12"/>
      <c r="V235" s="12"/>
      <c r="W235" s="12"/>
      <c r="X235" s="12"/>
      <c r="Y235" s="12"/>
      <c r="Z235" s="12"/>
    </row>
    <row r="236" spans="1:26" ht="12.75" customHeight="1" x14ac:dyDescent="0.15">
      <c r="A236" s="12"/>
      <c r="B236" s="256" t="s">
        <v>36</v>
      </c>
      <c r="C236" s="258"/>
      <c r="D236" s="257">
        <f>D152-C_Financier!D42</f>
        <v>0</v>
      </c>
      <c r="E236" s="257">
        <f>E152-C_Financier!E42</f>
        <v>0</v>
      </c>
      <c r="F236" s="257">
        <f>F152-C_Financier!F42</f>
        <v>0</v>
      </c>
      <c r="G236" s="257">
        <f>G152-C_Financier!G42</f>
        <v>0</v>
      </c>
      <c r="H236" s="258"/>
      <c r="I236" s="258"/>
      <c r="J236" s="297"/>
      <c r="K236" s="12"/>
      <c r="L236" s="138"/>
      <c r="M236" s="12"/>
      <c r="N236" s="12"/>
      <c r="O236" s="12"/>
      <c r="P236" s="12"/>
      <c r="Q236" s="12"/>
      <c r="R236" s="12"/>
      <c r="S236" s="12"/>
      <c r="T236" s="12"/>
      <c r="U236" s="12"/>
      <c r="V236" s="12"/>
      <c r="W236" s="12"/>
      <c r="X236" s="12"/>
      <c r="Y236" s="12"/>
      <c r="Z236" s="12"/>
    </row>
    <row r="237" spans="1:26" ht="12.75" customHeight="1" x14ac:dyDescent="0.15">
      <c r="A237" s="12"/>
      <c r="B237" s="260" t="str">
        <f>$A$297</f>
        <v>Environnement et Lutte contre les changements climatiques</v>
      </c>
      <c r="C237" s="261">
        <f>C153-C_Financier!C43</f>
        <v>0</v>
      </c>
      <c r="D237" s="261">
        <f>D153-C_Financier!D43</f>
        <v>0</v>
      </c>
      <c r="E237" s="261">
        <f>E153-C_Financier!E43</f>
        <v>0</v>
      </c>
      <c r="F237" s="261">
        <f>F153-C_Financier!F43</f>
        <v>-2475</v>
      </c>
      <c r="G237" s="261">
        <f>G153-C_Financier!G43</f>
        <v>-2536.875</v>
      </c>
      <c r="H237" s="261"/>
      <c r="I237" s="261"/>
      <c r="J237" s="297"/>
      <c r="K237" s="12"/>
      <c r="L237" s="138"/>
      <c r="M237" s="12"/>
      <c r="N237" s="12"/>
      <c r="O237" s="12"/>
      <c r="P237" s="12"/>
      <c r="Q237" s="12"/>
      <c r="R237" s="12"/>
      <c r="S237" s="12"/>
      <c r="T237" s="12"/>
      <c r="U237" s="12"/>
      <c r="V237" s="12"/>
      <c r="W237" s="12"/>
      <c r="X237" s="12"/>
      <c r="Y237" s="12"/>
      <c r="Z237" s="12"/>
    </row>
    <row r="238" spans="1:26" ht="12.75" customHeight="1" x14ac:dyDescent="0.15">
      <c r="A238" s="12"/>
      <c r="B238" s="256" t="s">
        <v>36</v>
      </c>
      <c r="C238" s="258"/>
      <c r="D238" s="257">
        <f>D154-C_Financier!D44</f>
        <v>0</v>
      </c>
      <c r="E238" s="257">
        <f>E154-C_Financier!E44</f>
        <v>0</v>
      </c>
      <c r="F238" s="257">
        <f>F154-C_Financier!F44</f>
        <v>110.83743842364532</v>
      </c>
      <c r="G238" s="257">
        <f>G154-C_Financier!G44</f>
        <v>1.6777062683429733</v>
      </c>
      <c r="H238" s="258"/>
      <c r="I238" s="258"/>
      <c r="J238" s="297"/>
      <c r="K238" s="12"/>
      <c r="L238" s="138"/>
      <c r="M238" s="12"/>
      <c r="N238" s="12"/>
      <c r="O238" s="12"/>
      <c r="P238" s="12"/>
      <c r="Q238" s="12"/>
      <c r="R238" s="12"/>
      <c r="S238" s="12"/>
      <c r="T238" s="12"/>
      <c r="U238" s="12"/>
      <c r="V238" s="12"/>
      <c r="W238" s="12"/>
      <c r="X238" s="12"/>
      <c r="Y238" s="12"/>
      <c r="Z238" s="12"/>
    </row>
    <row r="239" spans="1:26" ht="12.75" customHeight="1" x14ac:dyDescent="0.15">
      <c r="A239" s="12"/>
      <c r="B239" s="263" t="s">
        <v>230</v>
      </c>
      <c r="C239" s="261">
        <f>C155-C_Financier!C45</f>
        <v>0</v>
      </c>
      <c r="D239" s="261">
        <f>D155-C_Financier!D45</f>
        <v>0</v>
      </c>
      <c r="E239" s="261">
        <f>E155-C_Financier!E45</f>
        <v>-100</v>
      </c>
      <c r="F239" s="261">
        <f>F155-C_Financier!F45</f>
        <v>-558.69750000000022</v>
      </c>
      <c r="G239" s="261">
        <f>G155-C_Financier!G45</f>
        <v>-533.78993749999972</v>
      </c>
      <c r="H239" s="261"/>
      <c r="I239" s="261"/>
      <c r="J239" s="297"/>
      <c r="K239" s="12"/>
      <c r="L239" s="138"/>
      <c r="M239" s="12"/>
      <c r="N239" s="12"/>
      <c r="O239" s="12"/>
      <c r="P239" s="12"/>
      <c r="Q239" s="12"/>
      <c r="R239" s="12"/>
      <c r="S239" s="12"/>
      <c r="T239" s="12"/>
      <c r="U239" s="12"/>
      <c r="V239" s="12"/>
      <c r="W239" s="12"/>
      <c r="X239" s="12"/>
      <c r="Y239" s="12"/>
      <c r="Z239" s="12"/>
    </row>
    <row r="240" spans="1:26" ht="12.75" customHeight="1" x14ac:dyDescent="0.15">
      <c r="A240" s="12"/>
      <c r="B240" s="256" t="s">
        <v>36</v>
      </c>
      <c r="C240" s="258"/>
      <c r="D240" s="257">
        <f>D156-C_Financier!D46</f>
        <v>0</v>
      </c>
      <c r="E240" s="257">
        <f>E156-C_Financier!E46</f>
        <v>0.93933757913916338</v>
      </c>
      <c r="F240" s="257">
        <f>F156-C_Financier!F46</f>
        <v>3.3186962530839281</v>
      </c>
      <c r="G240" s="257">
        <f>G156-C_Financier!G46</f>
        <v>7.2190413482786653E-2</v>
      </c>
      <c r="H240" s="258"/>
      <c r="I240" s="258"/>
      <c r="J240" s="297"/>
      <c r="K240" s="12"/>
      <c r="L240" s="138"/>
      <c r="M240" s="12"/>
      <c r="N240" s="12"/>
      <c r="O240" s="12"/>
      <c r="P240" s="12"/>
      <c r="Q240" s="12"/>
      <c r="R240" s="12"/>
      <c r="S240" s="12"/>
      <c r="T240" s="12"/>
      <c r="U240" s="12"/>
      <c r="V240" s="12"/>
      <c r="W240" s="12"/>
      <c r="X240" s="12"/>
      <c r="Y240" s="12"/>
      <c r="Z240" s="12"/>
    </row>
    <row r="241" spans="1:26" ht="12.75" customHeight="1" x14ac:dyDescent="0.15">
      <c r="A241" s="12"/>
      <c r="B241" s="264" t="s">
        <v>50</v>
      </c>
      <c r="C241" s="265">
        <f>ROUND(C157-C_Financier!C48,6)</f>
        <v>0</v>
      </c>
      <c r="D241" s="265">
        <f>ROUND(D157-C_Financier!D48,6)</f>
        <v>0</v>
      </c>
      <c r="E241" s="265">
        <f>ROUND(E157-C_Financier!E48,6)</f>
        <v>-6730.6</v>
      </c>
      <c r="F241" s="265">
        <f>ROUND(F157-C_Financier!F48,6)</f>
        <v>-4891.4975000000004</v>
      </c>
      <c r="G241" s="265">
        <f>ROUND(G157-C_Financier!G48,6)</f>
        <v>-5393.7499369999996</v>
      </c>
      <c r="H241" s="265">
        <f>ROUND(H157-C_Financier!H48,6)</f>
        <v>-5838.5111859999997</v>
      </c>
      <c r="I241" s="265">
        <f>ROUND(I157-C_Financier!I48,6)</f>
        <v>-6839.114939</v>
      </c>
      <c r="J241" s="298"/>
      <c r="K241" s="12"/>
      <c r="L241" s="138"/>
      <c r="M241" s="12"/>
      <c r="N241" s="12"/>
      <c r="O241" s="12"/>
      <c r="P241" s="12"/>
      <c r="Q241" s="12"/>
      <c r="R241" s="12"/>
      <c r="S241" s="12"/>
      <c r="T241" s="12"/>
      <c r="U241" s="12"/>
      <c r="V241" s="12"/>
      <c r="W241" s="12"/>
      <c r="X241" s="12"/>
      <c r="Y241" s="12"/>
      <c r="Z241" s="12"/>
    </row>
    <row r="242" spans="1:26" ht="12.75" customHeight="1" x14ac:dyDescent="0.15">
      <c r="A242" s="12"/>
      <c r="B242" s="256" t="s">
        <v>36</v>
      </c>
      <c r="C242" s="257"/>
      <c r="D242" s="257">
        <f>ROUND(D158-C_Financier!D49,6)</f>
        <v>0</v>
      </c>
      <c r="E242" s="257">
        <f>ROUND(E158-C_Financier!E49,6)</f>
        <v>5.6907810000000003</v>
      </c>
      <c r="F242" s="257">
        <f>ROUND(F158-C_Financier!F49,6)</f>
        <v>-1.6094660000000001</v>
      </c>
      <c r="G242" s="257">
        <f>ROUND(G158-C_Financier!G49,6)</f>
        <v>0.25864799999999999</v>
      </c>
      <c r="H242" s="257">
        <f>ROUND(H158-C_Financier!H49,6)</f>
        <v>0.15004600000000001</v>
      </c>
      <c r="I242" s="257">
        <f>ROUND(I158-C_Financier!I49,6)</f>
        <v>0.56655800000000001</v>
      </c>
      <c r="J242" s="257">
        <f>IFERROR(ROUND(J158-C_Financier!J49,6),"Erreur")</f>
        <v>0.79900199999999999</v>
      </c>
      <c r="K242" s="138"/>
      <c r="L242" s="138"/>
      <c r="M242" s="12"/>
      <c r="N242" s="12"/>
      <c r="O242" s="12"/>
      <c r="P242" s="12"/>
      <c r="Q242" s="12"/>
      <c r="R242" s="12"/>
      <c r="S242" s="12"/>
      <c r="T242" s="12"/>
      <c r="U242" s="12"/>
      <c r="V242" s="12"/>
      <c r="W242" s="12"/>
      <c r="X242" s="12"/>
      <c r="Y242" s="12"/>
      <c r="Z242" s="12"/>
    </row>
    <row r="243" spans="1:26" ht="12.75" customHeight="1" x14ac:dyDescent="0.15">
      <c r="A243" s="12"/>
      <c r="B243" s="264" t="str">
        <f>$A$288</f>
        <v>Service de la dette</v>
      </c>
      <c r="C243" s="266">
        <f>C159-C_Financier!C51</f>
        <v>0</v>
      </c>
      <c r="D243" s="266">
        <f>D159-C_Financier!D51</f>
        <v>0</v>
      </c>
      <c r="E243" s="266">
        <f>E159-C_Financier!E51</f>
        <v>-169</v>
      </c>
      <c r="F243" s="266">
        <f>F159-C_Financier!F51</f>
        <v>-148</v>
      </c>
      <c r="G243" s="266">
        <f>G159-C_Financier!G51</f>
        <v>-129</v>
      </c>
      <c r="H243" s="266">
        <f>H159-C_Financier!H51</f>
        <v>-137</v>
      </c>
      <c r="I243" s="266">
        <f>I159-C_Financier!I51</f>
        <v>-203</v>
      </c>
      <c r="J243" s="267"/>
      <c r="K243" s="12"/>
      <c r="L243" s="138"/>
      <c r="M243" s="12"/>
      <c r="N243" s="12"/>
      <c r="O243" s="12"/>
      <c r="P243" s="12"/>
      <c r="Q243" s="12"/>
      <c r="R243" s="12"/>
      <c r="S243" s="12"/>
      <c r="T243" s="12"/>
      <c r="U243" s="12"/>
      <c r="V243" s="12"/>
      <c r="W243" s="12"/>
      <c r="X243" s="12"/>
      <c r="Y243" s="12"/>
      <c r="Z243" s="12"/>
    </row>
    <row r="244" spans="1:26" ht="12.75" customHeight="1" x14ac:dyDescent="0.15">
      <c r="A244" s="12"/>
      <c r="B244" s="268" t="s">
        <v>36</v>
      </c>
      <c r="C244" s="299"/>
      <c r="D244" s="299">
        <f>ROUND(D160-C_Financier!D52,6)</f>
        <v>0</v>
      </c>
      <c r="E244" s="299">
        <f>ROUND(E160-C_Financier!E52,6)</f>
        <v>1.9607840000000001</v>
      </c>
      <c r="F244" s="299">
        <f>ROUND(F160-C_Financier!F52,6)</f>
        <v>-1.2344000000000001E-2</v>
      </c>
      <c r="G244" s="299">
        <f>ROUND(G160-C_Financier!G52,6)</f>
        <v>-0.36732300000000001</v>
      </c>
      <c r="H244" s="299">
        <f>ROUND(H160-C_Financier!H52,6)</f>
        <v>6.658E-2</v>
      </c>
      <c r="I244" s="299">
        <f>ROUND(I160-C_Financier!I52,6)</f>
        <v>0.54095199999999999</v>
      </c>
      <c r="J244" s="299">
        <f>IFERROR(ROUND(J160-C_Financier!J52,6),"Erreur")</f>
        <v>0.32875500000000002</v>
      </c>
      <c r="K244" s="12"/>
      <c r="L244" s="138"/>
      <c r="M244" s="12"/>
      <c r="N244" s="300"/>
      <c r="O244" s="12"/>
      <c r="P244" s="12"/>
      <c r="Q244" s="12"/>
      <c r="R244" s="12"/>
      <c r="S244" s="12"/>
      <c r="T244" s="12"/>
      <c r="U244" s="12"/>
      <c r="V244" s="12"/>
      <c r="W244" s="12"/>
      <c r="X244" s="12"/>
      <c r="Y244" s="12"/>
      <c r="Z244" s="12"/>
    </row>
    <row r="245" spans="1:26" ht="7.5" customHeight="1" x14ac:dyDescent="0.15">
      <c r="A245" s="12"/>
      <c r="B245" s="12"/>
      <c r="C245" s="12"/>
      <c r="D245" s="12"/>
      <c r="E245" s="12"/>
      <c r="F245" s="12"/>
      <c r="G245" s="12"/>
      <c r="H245" s="12"/>
      <c r="I245" s="12"/>
      <c r="J245" s="211"/>
      <c r="K245" s="12"/>
      <c r="L245" s="138"/>
      <c r="M245" s="12"/>
      <c r="N245" s="12"/>
      <c r="O245" s="12"/>
      <c r="P245" s="12"/>
      <c r="Q245" s="12"/>
      <c r="R245" s="12"/>
      <c r="S245" s="12"/>
      <c r="T245" s="12"/>
      <c r="U245" s="12"/>
      <c r="V245" s="12"/>
      <c r="W245" s="12"/>
      <c r="X245" s="12"/>
      <c r="Y245" s="12"/>
      <c r="Z245" s="12"/>
    </row>
    <row r="246" spans="1:26" ht="28" x14ac:dyDescent="0.15">
      <c r="A246" s="12"/>
      <c r="B246" s="74" t="s">
        <v>53</v>
      </c>
      <c r="C246" s="270">
        <f>ROUND(C162-C_Financier!C56,6)</f>
        <v>0</v>
      </c>
      <c r="D246" s="270">
        <f>ROUND(D162-C_Financier!D56,6)</f>
        <v>0</v>
      </c>
      <c r="E246" s="270">
        <f>ROUND(E162-C_Financier!E56,6)</f>
        <v>0</v>
      </c>
      <c r="F246" s="270">
        <f>ROUND(F162-C_Financier!F56,6)</f>
        <v>0</v>
      </c>
      <c r="G246" s="270">
        <f>ROUND(G162-C_Financier!G56,6)</f>
        <v>0</v>
      </c>
      <c r="H246" s="270">
        <f>ROUND(H162-C_Financier!H56,6)</f>
        <v>0</v>
      </c>
      <c r="I246" s="270">
        <f>ROUND(I162-C_Financier!I56,6)</f>
        <v>0</v>
      </c>
      <c r="J246" s="211"/>
      <c r="K246" s="12"/>
      <c r="L246" s="138"/>
      <c r="M246" s="12"/>
      <c r="N246" s="12"/>
      <c r="O246" s="12"/>
      <c r="P246" s="12"/>
      <c r="Q246" s="12"/>
      <c r="R246" s="12"/>
      <c r="S246" s="12"/>
      <c r="T246" s="12"/>
      <c r="U246" s="12"/>
      <c r="V246" s="12"/>
      <c r="W246" s="12"/>
      <c r="X246" s="12"/>
      <c r="Y246" s="12"/>
      <c r="Z246" s="12"/>
    </row>
    <row r="247" spans="1:26" ht="12.75" customHeight="1" x14ac:dyDescent="0.15">
      <c r="A247" s="12"/>
      <c r="B247" s="74" t="str">
        <f>$N$91</f>
        <v>Provision pour risques économiques et autres mesures de soutien et de relance</v>
      </c>
      <c r="C247" s="270">
        <f>ROUND(C163-C_Financier!C57,6)</f>
        <v>0</v>
      </c>
      <c r="D247" s="270">
        <f>ROUND(D163-C_Financier!D57,6)</f>
        <v>0</v>
      </c>
      <c r="E247" s="270">
        <f>ROUND(E163-C_Financier!E57,6)</f>
        <v>2000</v>
      </c>
      <c r="F247" s="270">
        <f>ROUND(F163-C_Financier!F57,6)</f>
        <v>2000</v>
      </c>
      <c r="G247" s="270">
        <f>ROUND(G163-C_Financier!G57,6)</f>
        <v>2000</v>
      </c>
      <c r="H247" s="270">
        <f>ROUND(H163-C_Financier!H57,6)</f>
        <v>2000</v>
      </c>
      <c r="I247" s="270">
        <f>ROUND(I163-C_Financier!I57,6)</f>
        <v>2000</v>
      </c>
      <c r="J247" s="211"/>
      <c r="K247" s="12"/>
      <c r="L247" s="138"/>
      <c r="M247" s="12"/>
      <c r="N247" s="12"/>
      <c r="O247" s="12"/>
      <c r="P247" s="12"/>
      <c r="Q247" s="12"/>
      <c r="R247" s="12"/>
      <c r="S247" s="12"/>
      <c r="T247" s="12"/>
      <c r="U247" s="12"/>
      <c r="V247" s="12"/>
      <c r="W247" s="12"/>
      <c r="X247" s="12"/>
      <c r="Y247" s="12"/>
      <c r="Z247" s="12"/>
    </row>
    <row r="248" spans="1:26" ht="12.75" customHeight="1" x14ac:dyDescent="0.15">
      <c r="A248" s="12"/>
      <c r="B248" s="271" t="s">
        <v>55</v>
      </c>
      <c r="C248" s="272">
        <f>ROUND(C164-C_Financier!C58,6)</f>
        <v>0</v>
      </c>
      <c r="D248" s="272">
        <f>ROUND(D164-C_Financier!D58,6)</f>
        <v>0</v>
      </c>
      <c r="E248" s="272">
        <f>ROUND(E164-C_Financier!E58,6)</f>
        <v>-3919.9749999999999</v>
      </c>
      <c r="F248" s="272">
        <f>ROUND(F164-C_Financier!F58,6)</f>
        <v>-914.52</v>
      </c>
      <c r="G248" s="272">
        <f>ROUND(G164-C_Financier!G58,6)</f>
        <v>-682.29193799999996</v>
      </c>
      <c r="H248" s="272">
        <f>ROUND(H164-C_Financier!H58,6)</f>
        <v>-866.54816100000005</v>
      </c>
      <c r="I248" s="272">
        <f>ROUND(I164-C_Financier!I58,6)</f>
        <v>-1765.56835</v>
      </c>
      <c r="J248" s="211"/>
      <c r="K248" s="12"/>
      <c r="L248" s="138"/>
      <c r="M248" s="12"/>
      <c r="N248" s="12"/>
      <c r="O248" s="12"/>
      <c r="P248" s="12"/>
      <c r="Q248" s="12"/>
      <c r="R248" s="12"/>
      <c r="S248" s="12"/>
      <c r="T248" s="12"/>
      <c r="U248" s="12"/>
      <c r="V248" s="12"/>
      <c r="W248" s="12"/>
      <c r="X248" s="12"/>
      <c r="Y248" s="12"/>
      <c r="Z248" s="12"/>
    </row>
    <row r="249" spans="1:26" ht="12.75" customHeight="1" x14ac:dyDescent="0.15">
      <c r="A249" s="12"/>
      <c r="B249" s="273" t="s">
        <v>56</v>
      </c>
      <c r="C249" s="273"/>
      <c r="D249" s="273"/>
      <c r="E249" s="273"/>
      <c r="F249" s="273"/>
      <c r="G249" s="273"/>
      <c r="H249" s="273"/>
      <c r="I249" s="273"/>
      <c r="J249" s="211"/>
      <c r="K249" s="12"/>
      <c r="L249" s="138"/>
      <c r="M249" s="12"/>
      <c r="N249" s="12"/>
      <c r="O249" s="12"/>
      <c r="P249" s="12"/>
      <c r="Q249" s="12"/>
      <c r="R249" s="12"/>
      <c r="S249" s="12"/>
      <c r="T249" s="12"/>
      <c r="U249" s="12"/>
      <c r="V249" s="12"/>
      <c r="W249" s="12"/>
      <c r="X249" s="12"/>
      <c r="Y249" s="12"/>
      <c r="Z249" s="12"/>
    </row>
    <row r="250" spans="1:26" ht="28" x14ac:dyDescent="0.15">
      <c r="A250" s="12"/>
      <c r="B250" s="301" t="str">
        <f>$N$92</f>
        <v>Versements des revenus consacrés au Fonds des générations</v>
      </c>
      <c r="C250" s="75">
        <f>ROUND(C166-C_Financier!C62,6)</f>
        <v>0</v>
      </c>
      <c r="D250" s="75">
        <f>ROUND(D166-C_Financier!D62,6)</f>
        <v>0</v>
      </c>
      <c r="E250" s="75">
        <f>ROUND(E166-C_Financier!E62,6)</f>
        <v>0</v>
      </c>
      <c r="F250" s="75">
        <f>ROUND(F166-C_Financier!F62,6)</f>
        <v>2475</v>
      </c>
      <c r="G250" s="75">
        <f>ROUND(G166-C_Financier!G62,6)</f>
        <v>2536.875</v>
      </c>
      <c r="H250" s="75">
        <f>ROUND(H166-C_Financier!H62,6)</f>
        <v>2600.296875</v>
      </c>
      <c r="I250" s="75">
        <f>ROUND(I166-C_Financier!I62,6)</f>
        <v>2665.3042970000001</v>
      </c>
      <c r="J250" s="211"/>
      <c r="K250" s="12"/>
      <c r="L250" s="138"/>
      <c r="M250" s="12"/>
      <c r="N250" s="12"/>
      <c r="O250" s="12"/>
      <c r="P250" s="12"/>
      <c r="Q250" s="12"/>
      <c r="R250" s="12"/>
      <c r="S250" s="12"/>
      <c r="T250" s="12"/>
      <c r="U250" s="12"/>
      <c r="V250" s="12"/>
      <c r="W250" s="12"/>
      <c r="X250" s="12"/>
      <c r="Y250" s="12"/>
      <c r="Z250" s="12"/>
    </row>
    <row r="251" spans="1:26" ht="12.75" hidden="1" customHeight="1" outlineLevel="1" x14ac:dyDescent="0.15">
      <c r="A251" s="12"/>
      <c r="B251" s="86" t="s">
        <v>58</v>
      </c>
      <c r="C251" s="75">
        <f>ROUND(C167-C_Financier!C64,6)</f>
        <v>0</v>
      </c>
      <c r="D251" s="75">
        <f>ROUND(D167-C_Financier!D64,6)</f>
        <v>0</v>
      </c>
      <c r="E251" s="75">
        <f>ROUND(E167-C_Financier!E64,6)</f>
        <v>0</v>
      </c>
      <c r="F251" s="75">
        <f>ROUND(F167-C_Financier!F64,6)</f>
        <v>0</v>
      </c>
      <c r="G251" s="75">
        <f>ROUND(G167-C_Financier!G64,6)</f>
        <v>0</v>
      </c>
      <c r="H251" s="75">
        <f>ROUND(H167-C_Financier!H64,6)</f>
        <v>0</v>
      </c>
      <c r="I251" s="75">
        <f>ROUND(I167-C_Financier!I64,6)</f>
        <v>0</v>
      </c>
      <c r="J251" s="211"/>
      <c r="K251" s="12"/>
      <c r="L251" s="138"/>
      <c r="M251" s="12"/>
      <c r="N251" s="12"/>
      <c r="O251" s="12"/>
      <c r="P251" s="12"/>
      <c r="Q251" s="12"/>
      <c r="R251" s="12"/>
      <c r="S251" s="12"/>
      <c r="T251" s="12"/>
      <c r="U251" s="12"/>
      <c r="V251" s="12"/>
      <c r="W251" s="12"/>
      <c r="X251" s="12"/>
      <c r="Y251" s="12"/>
      <c r="Z251" s="12"/>
    </row>
    <row r="252" spans="1:26" ht="28" collapsed="1" x14ac:dyDescent="0.15">
      <c r="A252" s="12"/>
      <c r="B252" s="89" t="s">
        <v>59</v>
      </c>
      <c r="C252" s="90">
        <f>ROUND(C168-C_Financier!C66,6)</f>
        <v>0</v>
      </c>
      <c r="D252" s="90">
        <f>ROUND(D168-C_Financier!D66,6)</f>
        <v>0</v>
      </c>
      <c r="E252" s="90">
        <f>ROUND(E168-C_Financier!E66,6)</f>
        <v>-3919.9749999999999</v>
      </c>
      <c r="F252" s="90">
        <f>ROUND(F168-C_Financier!F66,6)</f>
        <v>1560.48</v>
      </c>
      <c r="G252" s="90">
        <f>ROUND(G168-C_Financier!G66,6)</f>
        <v>1854.5830619999999</v>
      </c>
      <c r="H252" s="90">
        <f>ROUND(H168-C_Financier!H66,6)</f>
        <v>1733.7487140000001</v>
      </c>
      <c r="I252" s="90">
        <f>ROUND(I168-C_Financier!I66,6)</f>
        <v>899.73594700000001</v>
      </c>
      <c r="J252" s="211"/>
      <c r="K252" s="12"/>
      <c r="L252" s="138"/>
      <c r="M252" s="12"/>
      <c r="N252" s="12"/>
      <c r="O252" s="12"/>
      <c r="P252" s="12"/>
      <c r="Q252" s="12"/>
      <c r="R252" s="12"/>
      <c r="S252" s="12"/>
      <c r="T252" s="12"/>
      <c r="U252" s="12"/>
      <c r="V252" s="12"/>
      <c r="W252" s="12"/>
      <c r="X252" s="12"/>
      <c r="Y252" s="12"/>
      <c r="Z252" s="12"/>
    </row>
    <row r="253" spans="1:26" ht="12.75" customHeight="1" x14ac:dyDescent="0.15">
      <c r="A253" s="12"/>
      <c r="B253" s="302" t="s">
        <v>60</v>
      </c>
      <c r="C253" s="75">
        <f>ROUND(C169-C_Financier!C68,6)</f>
        <v>0</v>
      </c>
      <c r="D253" s="75">
        <f>ROUND(D169-C_Financier!D68,6)</f>
        <v>0</v>
      </c>
      <c r="E253" s="75">
        <f>ROUND(E169-C_Financier!E68,6)</f>
        <v>0</v>
      </c>
      <c r="F253" s="75">
        <f>ROUND(F169-C_Financier!F68,6)</f>
        <v>0</v>
      </c>
      <c r="G253" s="75">
        <f>ROUND(G169-C_Financier!G68,6)</f>
        <v>0</v>
      </c>
      <c r="H253" s="75">
        <f>ROUND(H169-C_Financier!H68,6)</f>
        <v>173.25128599999999</v>
      </c>
      <c r="I253" s="75">
        <f>ROUND(I169-C_Financier!I68,6)</f>
        <v>551.81177600000001</v>
      </c>
      <c r="J253" s="211"/>
      <c r="K253" s="12"/>
      <c r="L253" s="138"/>
      <c r="M253" s="12"/>
      <c r="N253" s="12"/>
      <c r="O253" s="12"/>
      <c r="P253" s="12"/>
      <c r="Q253" s="12"/>
      <c r="R253" s="12"/>
      <c r="S253" s="12"/>
      <c r="T253" s="12"/>
      <c r="U253" s="12"/>
      <c r="V253" s="12"/>
      <c r="W253" s="12"/>
      <c r="X253" s="12"/>
      <c r="Y253" s="12"/>
      <c r="Z253" s="12"/>
    </row>
    <row r="254" spans="1:26" ht="12.75" customHeight="1" x14ac:dyDescent="0.15">
      <c r="A254" s="12"/>
      <c r="B254" s="277" t="s">
        <v>231</v>
      </c>
      <c r="C254" s="278">
        <f>ROUND(C170-C_Financier!C69,6)</f>
        <v>0</v>
      </c>
      <c r="D254" s="278">
        <f>ROUND(D170-C_Financier!D69,6)</f>
        <v>0</v>
      </c>
      <c r="E254" s="278">
        <f>ROUND(E170-C_Financier!E69,6)</f>
        <v>-3919.9749999999999</v>
      </c>
      <c r="F254" s="278">
        <f>ROUND(F170-C_Financier!F69,6)</f>
        <v>1560.48</v>
      </c>
      <c r="G254" s="278">
        <f>ROUND(G170-C_Financier!G69,6)</f>
        <v>1854.5830619999999</v>
      </c>
      <c r="H254" s="278">
        <f>ROUND(H170-C_Financier!H69,6)</f>
        <v>1907</v>
      </c>
      <c r="I254" s="278">
        <f>ROUND(I170-C_Financier!I69,6)</f>
        <v>1451.5477229999999</v>
      </c>
      <c r="J254" s="303"/>
      <c r="K254" s="12"/>
      <c r="L254" s="138"/>
      <c r="M254" s="12"/>
      <c r="N254" s="12"/>
      <c r="O254" s="12"/>
      <c r="P254" s="12"/>
      <c r="Q254" s="12"/>
      <c r="R254" s="12"/>
      <c r="S254" s="12"/>
      <c r="T254" s="12"/>
      <c r="U254" s="12"/>
      <c r="V254" s="12"/>
      <c r="W254" s="12"/>
      <c r="X254" s="12"/>
      <c r="Y254" s="12"/>
      <c r="Z254" s="12"/>
    </row>
    <row r="255" spans="1:26" ht="51" customHeight="1" x14ac:dyDescent="0.15">
      <c r="A255" s="12"/>
      <c r="B255" s="356" t="s">
        <v>232</v>
      </c>
      <c r="C255" s="357"/>
      <c r="D255" s="357"/>
      <c r="E255" s="357"/>
      <c r="F255" s="357"/>
      <c r="G255" s="357"/>
      <c r="H255" s="357"/>
      <c r="I255" s="357"/>
      <c r="J255" s="357"/>
      <c r="K255" s="12"/>
      <c r="L255" s="138"/>
      <c r="M255" s="12"/>
      <c r="N255" s="12"/>
      <c r="O255" s="12"/>
      <c r="P255" s="12"/>
      <c r="Q255" s="12"/>
      <c r="R255" s="12"/>
      <c r="S255" s="12"/>
      <c r="T255" s="12"/>
      <c r="U255" s="12"/>
      <c r="V255" s="12"/>
      <c r="W255" s="12"/>
      <c r="X255" s="12"/>
      <c r="Y255" s="12"/>
      <c r="Z255" s="12"/>
    </row>
    <row r="256" spans="1:26" ht="6.75" customHeight="1" x14ac:dyDescent="0.15">
      <c r="A256" s="12"/>
      <c r="B256" s="101"/>
      <c r="C256" s="101"/>
      <c r="D256" s="101"/>
      <c r="E256" s="101"/>
      <c r="F256" s="101"/>
      <c r="G256" s="101"/>
      <c r="H256" s="101"/>
      <c r="I256" s="101"/>
      <c r="J256" s="101"/>
      <c r="K256" s="12"/>
      <c r="L256" s="138"/>
      <c r="M256" s="12"/>
      <c r="N256" s="12"/>
      <c r="O256" s="12"/>
      <c r="P256" s="12"/>
      <c r="Q256" s="12"/>
      <c r="R256" s="12"/>
      <c r="S256" s="12"/>
      <c r="T256" s="12"/>
      <c r="U256" s="12"/>
      <c r="V256" s="12"/>
      <c r="W256" s="12"/>
      <c r="X256" s="12"/>
      <c r="Y256" s="12"/>
      <c r="Z256" s="12"/>
    </row>
    <row r="257" spans="1:26" ht="9" customHeight="1" x14ac:dyDescent="0.15">
      <c r="A257" s="107"/>
      <c r="B257" s="107"/>
      <c r="C257" s="107"/>
      <c r="D257" s="107"/>
      <c r="E257" s="107"/>
      <c r="F257" s="107"/>
      <c r="G257" s="107"/>
      <c r="H257" s="107"/>
      <c r="I257" s="107"/>
      <c r="J257" s="107"/>
      <c r="K257" s="107"/>
      <c r="L257" s="304"/>
      <c r="M257" s="305"/>
      <c r="N257" s="305"/>
      <c r="O257" s="305"/>
      <c r="P257" s="1"/>
      <c r="Q257" s="1"/>
      <c r="R257" s="1"/>
      <c r="S257" s="1"/>
      <c r="T257" s="1"/>
      <c r="U257" s="1"/>
      <c r="V257" s="1"/>
      <c r="W257" s="1"/>
      <c r="X257" s="1"/>
      <c r="Y257" s="1"/>
      <c r="Z257" s="1"/>
    </row>
    <row r="258" spans="1:26" ht="12.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15">
      <c r="A259" s="1"/>
      <c r="B259" s="216"/>
      <c r="C259" s="216"/>
      <c r="D259" s="217"/>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15">
      <c r="A260" s="1"/>
      <c r="B260" s="273"/>
      <c r="C260" s="274"/>
      <c r="D260" s="274"/>
      <c r="E260" s="274"/>
      <c r="F260" s="274"/>
      <c r="G260" s="274"/>
      <c r="H260" s="274"/>
      <c r="I260" s="274"/>
      <c r="J260" s="1"/>
      <c r="K260" s="1"/>
      <c r="L260" s="1"/>
      <c r="M260" s="1"/>
      <c r="N260" s="1"/>
      <c r="O260" s="1"/>
      <c r="P260" s="1"/>
      <c r="Q260" s="1"/>
      <c r="R260" s="1"/>
      <c r="S260" s="1"/>
      <c r="T260" s="1"/>
      <c r="U260" s="1"/>
      <c r="V260" s="1"/>
      <c r="W260" s="1"/>
      <c r="X260" s="1"/>
      <c r="Y260" s="1"/>
      <c r="Z260" s="1"/>
    </row>
    <row r="261" spans="1:26" ht="12.75" customHeight="1" x14ac:dyDescent="0.15">
      <c r="A261" s="1"/>
      <c r="B261" s="273"/>
      <c r="C261" s="274"/>
      <c r="D261" s="274"/>
      <c r="E261" s="274"/>
      <c r="F261" s="274"/>
      <c r="G261" s="274"/>
      <c r="H261" s="274"/>
      <c r="I261" s="274"/>
      <c r="J261" s="1"/>
      <c r="K261" s="1"/>
      <c r="L261" s="1"/>
      <c r="M261" s="1"/>
      <c r="N261" s="1"/>
      <c r="O261" s="1"/>
      <c r="P261" s="1"/>
      <c r="Q261" s="1"/>
      <c r="R261" s="1"/>
      <c r="S261" s="1"/>
      <c r="T261" s="1"/>
      <c r="U261" s="1"/>
      <c r="V261" s="1"/>
      <c r="W261" s="1"/>
      <c r="X261" s="1"/>
      <c r="Y261" s="1"/>
      <c r="Z261" s="1"/>
    </row>
    <row r="262" spans="1:26" ht="12.75" customHeight="1" x14ac:dyDescent="0.15">
      <c r="A262" s="1"/>
      <c r="B262" s="273"/>
      <c r="C262" s="274"/>
      <c r="D262" s="274"/>
      <c r="E262" s="274"/>
      <c r="F262" s="274"/>
      <c r="G262" s="274"/>
      <c r="H262" s="274"/>
      <c r="I262" s="274"/>
      <c r="J262" s="1"/>
      <c r="K262" s="1"/>
      <c r="L262" s="1"/>
      <c r="M262" s="1"/>
      <c r="N262" s="1"/>
      <c r="O262" s="1"/>
      <c r="P262" s="1"/>
      <c r="Q262" s="1"/>
      <c r="R262" s="1"/>
      <c r="S262" s="1"/>
      <c r="T262" s="1"/>
      <c r="U262" s="1"/>
      <c r="V262" s="1"/>
      <c r="W262" s="1"/>
      <c r="X262" s="1"/>
      <c r="Y262" s="1"/>
      <c r="Z262" s="1"/>
    </row>
    <row r="263" spans="1:26" ht="12.75" customHeight="1" x14ac:dyDescent="0.15">
      <c r="A263" s="1"/>
      <c r="B263" s="273"/>
      <c r="C263" s="274"/>
      <c r="D263" s="274"/>
      <c r="E263" s="274"/>
      <c r="F263" s="274"/>
      <c r="G263" s="274"/>
      <c r="H263" s="274"/>
      <c r="I263" s="274"/>
      <c r="J263" s="1"/>
      <c r="K263" s="1"/>
      <c r="L263" s="1"/>
      <c r="M263" s="1"/>
      <c r="N263" s="1"/>
      <c r="O263" s="1"/>
      <c r="P263" s="1"/>
      <c r="Q263" s="1"/>
      <c r="R263" s="1"/>
      <c r="S263" s="1"/>
      <c r="T263" s="1"/>
      <c r="U263" s="1"/>
      <c r="V263" s="1"/>
      <c r="W263" s="1"/>
      <c r="X263" s="1"/>
      <c r="Y263" s="1"/>
      <c r="Z263" s="1"/>
    </row>
    <row r="264" spans="1:26" ht="12.75" customHeight="1" x14ac:dyDescent="0.15">
      <c r="A264" s="1"/>
      <c r="B264" s="273"/>
      <c r="C264" s="274"/>
      <c r="D264" s="274"/>
      <c r="E264" s="274"/>
      <c r="F264" s="274"/>
      <c r="G264" s="274"/>
      <c r="H264" s="274"/>
      <c r="I264" s="274"/>
      <c r="J264" s="1"/>
      <c r="K264" s="1"/>
      <c r="L264" s="1"/>
      <c r="M264" s="1"/>
      <c r="N264" s="1"/>
      <c r="O264" s="1"/>
      <c r="P264" s="1"/>
      <c r="Q264" s="1"/>
      <c r="R264" s="1"/>
      <c r="S264" s="1"/>
      <c r="T264" s="1"/>
      <c r="U264" s="1"/>
      <c r="V264" s="1"/>
      <c r="W264" s="1"/>
      <c r="X264" s="1"/>
      <c r="Y264" s="1"/>
      <c r="Z264" s="1"/>
    </row>
    <row r="265" spans="1:26" ht="12.75" customHeight="1" x14ac:dyDescent="0.15">
      <c r="A265" s="1"/>
      <c r="B265" s="273"/>
      <c r="C265" s="274"/>
      <c r="D265" s="274"/>
      <c r="E265" s="274"/>
      <c r="F265" s="274"/>
      <c r="G265" s="274"/>
      <c r="H265" s="274"/>
      <c r="I265" s="274"/>
      <c r="J265" s="1"/>
      <c r="K265" s="1"/>
      <c r="L265" s="1"/>
      <c r="M265" s="1"/>
      <c r="N265" s="1"/>
      <c r="O265" s="1"/>
      <c r="P265" s="1"/>
      <c r="Q265" s="1"/>
      <c r="R265" s="1"/>
      <c r="S265" s="1"/>
      <c r="T265" s="1"/>
      <c r="U265" s="1"/>
      <c r="V265" s="1"/>
      <c r="W265" s="1"/>
      <c r="X265" s="1"/>
      <c r="Y265" s="1"/>
      <c r="Z265" s="1"/>
    </row>
    <row r="266" spans="1:26" ht="12.75" customHeight="1" x14ac:dyDescent="0.15">
      <c r="A266" s="1"/>
      <c r="B266" s="273"/>
      <c r="C266" s="274"/>
      <c r="D266" s="274"/>
      <c r="E266" s="274"/>
      <c r="F266" s="274"/>
      <c r="G266" s="274"/>
      <c r="H266" s="274"/>
      <c r="I266" s="274"/>
      <c r="J266" s="1"/>
      <c r="K266" s="1"/>
      <c r="L266" s="1"/>
      <c r="M266" s="1"/>
      <c r="N266" s="1"/>
      <c r="O266" s="1"/>
      <c r="P266" s="1"/>
      <c r="Q266" s="1"/>
      <c r="R266" s="1"/>
      <c r="S266" s="1"/>
      <c r="T266" s="1"/>
      <c r="U266" s="1"/>
      <c r="V266" s="1"/>
      <c r="W266" s="1"/>
      <c r="X266" s="1"/>
      <c r="Y266" s="1"/>
      <c r="Z266" s="1"/>
    </row>
    <row r="267" spans="1:26" ht="12.75" customHeight="1" x14ac:dyDescent="0.15">
      <c r="A267" s="1"/>
      <c r="B267" s="273"/>
      <c r="C267" s="274"/>
      <c r="D267" s="274"/>
      <c r="E267" s="274"/>
      <c r="F267" s="274"/>
      <c r="G267" s="274"/>
      <c r="H267" s="274"/>
      <c r="I267" s="274"/>
      <c r="J267" s="1"/>
      <c r="K267" s="1"/>
      <c r="L267" s="1"/>
      <c r="M267" s="1"/>
      <c r="N267" s="1"/>
      <c r="O267" s="1"/>
      <c r="P267" s="1"/>
      <c r="Q267" s="1"/>
      <c r="R267" s="1"/>
      <c r="S267" s="1"/>
      <c r="T267" s="1"/>
      <c r="U267" s="1"/>
      <c r="V267" s="1"/>
      <c r="W267" s="1"/>
      <c r="X267" s="1"/>
      <c r="Y267" s="1"/>
      <c r="Z267" s="1"/>
    </row>
    <row r="268" spans="1:26" ht="12.75" customHeight="1" x14ac:dyDescent="0.15">
      <c r="A268" s="1"/>
      <c r="B268" s="273"/>
      <c r="C268" s="274"/>
      <c r="D268" s="274"/>
      <c r="E268" s="274"/>
      <c r="F268" s="274"/>
      <c r="G268" s="274"/>
      <c r="H268" s="274"/>
      <c r="I268" s="274"/>
      <c r="J268" s="1"/>
      <c r="K268" s="1"/>
      <c r="L268" s="1"/>
      <c r="M268" s="1"/>
      <c r="N268" s="1"/>
      <c r="O268" s="1"/>
      <c r="P268" s="1"/>
      <c r="Q268" s="1"/>
      <c r="R268" s="1"/>
      <c r="S268" s="1"/>
      <c r="T268" s="1"/>
      <c r="U268" s="1"/>
      <c r="V268" s="1"/>
      <c r="W268" s="1"/>
      <c r="X268" s="1"/>
      <c r="Y268" s="1"/>
      <c r="Z268" s="1"/>
    </row>
    <row r="269" spans="1:26" ht="12.75" customHeight="1" x14ac:dyDescent="0.15">
      <c r="A269" s="1"/>
      <c r="B269" s="273"/>
      <c r="C269" s="274"/>
      <c r="D269" s="274"/>
      <c r="E269" s="274"/>
      <c r="F269" s="274"/>
      <c r="G269" s="274"/>
      <c r="H269" s="274"/>
      <c r="I269" s="274"/>
      <c r="J269" s="1"/>
      <c r="K269" s="1"/>
      <c r="L269" s="1"/>
      <c r="M269" s="1"/>
      <c r="N269" s="1"/>
      <c r="O269" s="1"/>
      <c r="P269" s="1"/>
      <c r="Q269" s="1"/>
      <c r="R269" s="1"/>
      <c r="S269" s="1"/>
      <c r="T269" s="1"/>
      <c r="U269" s="1"/>
      <c r="V269" s="1"/>
      <c r="W269" s="1"/>
      <c r="X269" s="1"/>
      <c r="Y269" s="1"/>
      <c r="Z269" s="1"/>
    </row>
    <row r="270" spans="1:26" ht="12.75" customHeight="1" x14ac:dyDescent="0.15">
      <c r="A270" s="1"/>
      <c r="B270" s="273"/>
      <c r="C270" s="274"/>
      <c r="D270" s="274"/>
      <c r="E270" s="274"/>
      <c r="F270" s="274"/>
      <c r="G270" s="274"/>
      <c r="H270" s="274"/>
      <c r="I270" s="274"/>
      <c r="J270" s="1"/>
      <c r="K270" s="1"/>
      <c r="L270" s="1"/>
      <c r="M270" s="1"/>
      <c r="N270" s="1"/>
      <c r="O270" s="1"/>
      <c r="P270" s="1"/>
      <c r="Q270" s="1"/>
      <c r="R270" s="1"/>
      <c r="S270" s="1"/>
      <c r="T270" s="1"/>
      <c r="U270" s="1"/>
      <c r="V270" s="1"/>
      <c r="W270" s="1"/>
      <c r="X270" s="1"/>
      <c r="Y270" s="1"/>
      <c r="Z270" s="1"/>
    </row>
    <row r="271" spans="1:26" ht="12.75" customHeight="1" x14ac:dyDescent="0.15">
      <c r="A271" s="1"/>
      <c r="B271" s="273"/>
      <c r="C271" s="274"/>
      <c r="D271" s="274"/>
      <c r="E271" s="274"/>
      <c r="F271" s="274"/>
      <c r="G271" s="274"/>
      <c r="H271" s="274"/>
      <c r="I271" s="274"/>
      <c r="J271" s="1"/>
      <c r="K271" s="1"/>
      <c r="L271" s="1"/>
      <c r="M271" s="1"/>
      <c r="N271" s="1"/>
      <c r="O271" s="1"/>
      <c r="P271" s="1"/>
      <c r="Q271" s="1"/>
      <c r="R271" s="1"/>
      <c r="S271" s="1"/>
      <c r="T271" s="1"/>
      <c r="U271" s="1"/>
      <c r="V271" s="1"/>
      <c r="W271" s="1"/>
      <c r="X271" s="1"/>
      <c r="Y271" s="1"/>
      <c r="Z271" s="1"/>
    </row>
    <row r="272" spans="1:26" ht="12.75" customHeight="1" x14ac:dyDescent="0.15">
      <c r="A272" s="1"/>
      <c r="B272" s="273"/>
      <c r="C272" s="274"/>
      <c r="D272" s="274"/>
      <c r="E272" s="274"/>
      <c r="F272" s="274"/>
      <c r="G272" s="274"/>
      <c r="H272" s="274"/>
      <c r="I272" s="274"/>
      <c r="J272" s="1"/>
      <c r="K272" s="1"/>
      <c r="L272" s="1"/>
      <c r="M272" s="1"/>
      <c r="N272" s="1"/>
      <c r="O272" s="1"/>
      <c r="P272" s="1"/>
      <c r="Q272" s="1"/>
      <c r="R272" s="1"/>
      <c r="S272" s="1"/>
      <c r="T272" s="1"/>
      <c r="U272" s="1"/>
      <c r="V272" s="1"/>
      <c r="W272" s="1"/>
      <c r="X272" s="1"/>
      <c r="Y272" s="1"/>
      <c r="Z272" s="1"/>
    </row>
    <row r="273" spans="1:26" ht="12.75" customHeight="1" x14ac:dyDescent="0.15">
      <c r="A273" s="1"/>
      <c r="B273" s="273"/>
      <c r="C273" s="274"/>
      <c r="D273" s="274"/>
      <c r="E273" s="274"/>
      <c r="F273" s="274"/>
      <c r="G273" s="274"/>
      <c r="H273" s="274"/>
      <c r="I273" s="274"/>
      <c r="J273" s="1"/>
      <c r="K273" s="1"/>
      <c r="L273" s="1"/>
      <c r="M273" s="1"/>
      <c r="N273" s="1"/>
      <c r="O273" s="1"/>
      <c r="P273" s="1"/>
      <c r="Q273" s="1"/>
      <c r="R273" s="1"/>
      <c r="S273" s="1"/>
      <c r="T273" s="1"/>
      <c r="U273" s="1"/>
      <c r="V273" s="1"/>
      <c r="W273" s="1"/>
      <c r="X273" s="1"/>
      <c r="Y273" s="1"/>
      <c r="Z273" s="1"/>
    </row>
    <row r="274" spans="1:26" ht="12.75" customHeight="1" x14ac:dyDescent="0.15">
      <c r="A274" s="1"/>
      <c r="B274" s="273"/>
      <c r="C274" s="274"/>
      <c r="D274" s="274"/>
      <c r="E274" s="274"/>
      <c r="F274" s="274"/>
      <c r="G274" s="274"/>
      <c r="H274" s="274"/>
      <c r="I274" s="274"/>
      <c r="J274" s="1"/>
      <c r="K274" s="1"/>
      <c r="L274" s="1"/>
      <c r="M274" s="1"/>
      <c r="N274" s="1"/>
      <c r="O274" s="1"/>
      <c r="P274" s="1"/>
      <c r="Q274" s="1"/>
      <c r="R274" s="1"/>
      <c r="S274" s="1"/>
      <c r="T274" s="1"/>
      <c r="U274" s="1"/>
      <c r="V274" s="1"/>
      <c r="W274" s="1"/>
      <c r="X274" s="1"/>
      <c r="Y274" s="1"/>
      <c r="Z274" s="1"/>
    </row>
    <row r="275" spans="1:26" ht="12.75" customHeight="1" x14ac:dyDescent="0.15">
      <c r="A275" s="1"/>
      <c r="B275" s="273"/>
      <c r="C275" s="274"/>
      <c r="D275" s="274"/>
      <c r="E275" s="274"/>
      <c r="F275" s="274"/>
      <c r="G275" s="274"/>
      <c r="H275" s="274"/>
      <c r="I275" s="274"/>
      <c r="J275" s="1"/>
      <c r="K275" s="1"/>
      <c r="L275" s="1"/>
      <c r="M275" s="1"/>
      <c r="N275" s="1"/>
      <c r="O275" s="1"/>
      <c r="P275" s="1"/>
      <c r="Q275" s="1"/>
      <c r="R275" s="1"/>
      <c r="S275" s="1"/>
      <c r="T275" s="1"/>
      <c r="U275" s="1"/>
      <c r="V275" s="1"/>
      <c r="W275" s="1"/>
      <c r="X275" s="1"/>
      <c r="Y275" s="1"/>
      <c r="Z275" s="1"/>
    </row>
    <row r="276" spans="1:26" ht="12.75" customHeight="1" x14ac:dyDescent="0.15">
      <c r="A276" s="1"/>
      <c r="B276" s="273"/>
      <c r="C276" s="274"/>
      <c r="D276" s="274"/>
      <c r="E276" s="274"/>
      <c r="F276" s="274"/>
      <c r="G276" s="274"/>
      <c r="H276" s="274"/>
      <c r="I276" s="274"/>
      <c r="J276" s="1"/>
      <c r="K276" s="1"/>
      <c r="L276" s="1"/>
      <c r="M276" s="1"/>
      <c r="N276" s="1"/>
      <c r="O276" s="1"/>
      <c r="P276" s="1"/>
      <c r="Q276" s="1"/>
      <c r="R276" s="1"/>
      <c r="S276" s="1"/>
      <c r="T276" s="1"/>
      <c r="U276" s="1"/>
      <c r="V276" s="1"/>
      <c r="W276" s="1"/>
      <c r="X276" s="1"/>
      <c r="Y276" s="1"/>
      <c r="Z276" s="1"/>
    </row>
    <row r="277" spans="1:26" ht="12.75" customHeight="1" x14ac:dyDescent="0.15">
      <c r="A277" s="1"/>
      <c r="B277" s="273"/>
      <c r="C277" s="274"/>
      <c r="D277" s="274"/>
      <c r="E277" s="274"/>
      <c r="F277" s="274"/>
      <c r="G277" s="274"/>
      <c r="H277" s="274"/>
      <c r="I277" s="274"/>
      <c r="J277" s="1"/>
      <c r="K277" s="1"/>
      <c r="L277" s="1"/>
      <c r="M277" s="1"/>
      <c r="N277" s="1"/>
      <c r="O277" s="1"/>
      <c r="P277" s="1"/>
      <c r="Q277" s="1"/>
      <c r="R277" s="1"/>
      <c r="S277" s="1"/>
      <c r="T277" s="1"/>
      <c r="U277" s="1"/>
      <c r="V277" s="1"/>
      <c r="W277" s="1"/>
      <c r="X277" s="1"/>
      <c r="Y277" s="1"/>
      <c r="Z277" s="1"/>
    </row>
    <row r="278" spans="1:26" ht="12.75" customHeight="1" x14ac:dyDescent="0.15">
      <c r="A278" s="1"/>
      <c r="B278" s="273"/>
      <c r="C278" s="274"/>
      <c r="D278" s="274"/>
      <c r="E278" s="274"/>
      <c r="F278" s="274"/>
      <c r="G278" s="274"/>
      <c r="H278" s="274"/>
      <c r="I278" s="274"/>
      <c r="J278" s="1"/>
      <c r="K278" s="1"/>
      <c r="L278" s="1"/>
      <c r="M278" s="1"/>
      <c r="N278" s="1"/>
      <c r="O278" s="1"/>
      <c r="P278" s="1"/>
      <c r="Q278" s="1"/>
      <c r="R278" s="1"/>
      <c r="S278" s="1"/>
      <c r="T278" s="1"/>
      <c r="U278" s="1"/>
      <c r="V278" s="1"/>
      <c r="W278" s="1"/>
      <c r="X278" s="1"/>
      <c r="Y278" s="1"/>
      <c r="Z278" s="1"/>
    </row>
    <row r="279" spans="1:26" ht="12.75" customHeight="1" x14ac:dyDescent="0.15">
      <c r="A279" s="1"/>
      <c r="B279" s="273"/>
      <c r="C279" s="274"/>
      <c r="D279" s="274"/>
      <c r="E279" s="274"/>
      <c r="F279" s="274"/>
      <c r="G279" s="274"/>
      <c r="H279" s="274"/>
      <c r="I279" s="274"/>
      <c r="J279" s="1"/>
      <c r="K279" s="1"/>
      <c r="L279" s="1"/>
      <c r="M279" s="1"/>
      <c r="N279" s="1"/>
      <c r="O279" s="1"/>
      <c r="P279" s="1"/>
      <c r="Q279" s="1"/>
      <c r="R279" s="1"/>
      <c r="S279" s="1"/>
      <c r="T279" s="1"/>
      <c r="U279" s="1"/>
      <c r="V279" s="1"/>
      <c r="W279" s="1"/>
      <c r="X279" s="1"/>
      <c r="Y279" s="1"/>
      <c r="Z279" s="1"/>
    </row>
    <row r="280" spans="1:26" ht="12.75" customHeight="1" x14ac:dyDescent="0.15">
      <c r="A280" s="1"/>
      <c r="B280" s="273"/>
      <c r="C280" s="274"/>
      <c r="D280" s="274"/>
      <c r="E280" s="274"/>
      <c r="F280" s="274"/>
      <c r="G280" s="274"/>
      <c r="H280" s="274"/>
      <c r="I280" s="274"/>
      <c r="J280" s="1"/>
      <c r="K280" s="1"/>
      <c r="L280" s="1"/>
      <c r="M280" s="1"/>
      <c r="N280" s="1"/>
      <c r="O280" s="1"/>
      <c r="P280" s="1"/>
      <c r="Q280" s="1"/>
      <c r="R280" s="1"/>
      <c r="S280" s="1"/>
      <c r="T280" s="1"/>
      <c r="U280" s="1"/>
      <c r="V280" s="1"/>
      <c r="W280" s="1"/>
      <c r="X280" s="1"/>
      <c r="Y280" s="1"/>
      <c r="Z280" s="1"/>
    </row>
    <row r="281" spans="1:26" ht="12.75" customHeight="1" x14ac:dyDescent="0.15">
      <c r="A281" s="1"/>
      <c r="B281" s="273"/>
      <c r="C281" s="274"/>
      <c r="D281" s="274"/>
      <c r="E281" s="274"/>
      <c r="F281" s="274"/>
      <c r="G281" s="274"/>
      <c r="H281" s="274"/>
      <c r="I281" s="274"/>
      <c r="J281" s="1"/>
      <c r="K281" s="1"/>
      <c r="L281" s="1"/>
      <c r="M281" s="1"/>
      <c r="N281" s="1"/>
      <c r="O281" s="1"/>
      <c r="P281" s="1"/>
      <c r="Q281" s="1"/>
      <c r="R281" s="1"/>
      <c r="S281" s="1"/>
      <c r="T281" s="1"/>
      <c r="U281" s="1"/>
      <c r="V281" s="1"/>
      <c r="W281" s="1"/>
      <c r="X281" s="1"/>
      <c r="Y281" s="1"/>
      <c r="Z281" s="1"/>
    </row>
    <row r="282" spans="1:26" ht="12.75" customHeight="1" x14ac:dyDescent="0.15">
      <c r="A282" s="1"/>
      <c r="B282" s="273"/>
      <c r="C282" s="274"/>
      <c r="D282" s="274"/>
      <c r="E282" s="274"/>
      <c r="F282" s="274"/>
      <c r="G282" s="274"/>
      <c r="H282" s="274"/>
      <c r="I282" s="274"/>
      <c r="J282" s="1"/>
      <c r="K282" s="1"/>
      <c r="L282" s="1"/>
      <c r="M282" s="1"/>
      <c r="N282" s="1"/>
      <c r="O282" s="1"/>
      <c r="P282" s="1"/>
      <c r="Q282" s="1"/>
      <c r="R282" s="1"/>
      <c r="S282" s="1"/>
      <c r="T282" s="1"/>
      <c r="U282" s="1"/>
      <c r="V282" s="1"/>
      <c r="W282" s="1"/>
      <c r="X282" s="1"/>
      <c r="Y282" s="1"/>
      <c r="Z282" s="1"/>
    </row>
    <row r="283" spans="1:26" ht="12.75" customHeight="1" x14ac:dyDescent="0.15">
      <c r="A283" s="1"/>
      <c r="B283" s="273"/>
      <c r="C283" s="274"/>
      <c r="D283" s="274"/>
      <c r="E283" s="274"/>
      <c r="F283" s="274"/>
      <c r="G283" s="274"/>
      <c r="H283" s="274"/>
      <c r="I283" s="274"/>
      <c r="J283" s="1"/>
      <c r="K283" s="1"/>
      <c r="L283" s="1"/>
      <c r="M283" s="1"/>
      <c r="N283" s="1"/>
      <c r="O283" s="1"/>
      <c r="P283" s="1"/>
      <c r="Q283" s="1"/>
      <c r="R283" s="1"/>
      <c r="S283" s="1"/>
      <c r="T283" s="1"/>
      <c r="U283" s="1"/>
      <c r="V283" s="1"/>
      <c r="W283" s="1"/>
      <c r="X283" s="1"/>
      <c r="Y283" s="1"/>
      <c r="Z283" s="1"/>
    </row>
    <row r="284" spans="1:26" ht="12.75" hidden="1" customHeight="1" outlineLevel="1" x14ac:dyDescent="0.15">
      <c r="A284" s="306" t="s">
        <v>233</v>
      </c>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hidden="1" customHeight="1" outlineLevel="1" x14ac:dyDescent="0.15">
      <c r="A285" s="306"/>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hidden="1" customHeight="1" outlineLevel="1" x14ac:dyDescent="0.15">
      <c r="A286" s="306" t="s">
        <v>234</v>
      </c>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hidden="1" customHeight="1" outlineLevel="1" x14ac:dyDescent="0.15">
      <c r="A287" s="1" t="s">
        <v>148</v>
      </c>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hidden="1" customHeight="1" outlineLevel="1" x14ac:dyDescent="0.15">
      <c r="A288" s="1" t="s">
        <v>51</v>
      </c>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hidden="1" customHeight="1" outlineLevel="1" x14ac:dyDescent="0.15">
      <c r="A289" s="1" t="s">
        <v>40</v>
      </c>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hidden="1" customHeight="1" outlineLevel="1" x14ac:dyDescent="0.15">
      <c r="A290" s="1" t="s">
        <v>41</v>
      </c>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hidden="1" customHeight="1" outlineLevel="1" x14ac:dyDescent="0.15">
      <c r="A291" s="1" t="s">
        <v>42</v>
      </c>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hidden="1" customHeight="1" outlineLevel="1" x14ac:dyDescent="0.15">
      <c r="A292" s="1" t="s">
        <v>43</v>
      </c>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hidden="1" customHeight="1" outlineLevel="1" x14ac:dyDescent="0.15">
      <c r="A293" s="1" t="s">
        <v>44</v>
      </c>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hidden="1" customHeight="1" outlineLevel="1" x14ac:dyDescent="0.15">
      <c r="A294" s="1" t="s">
        <v>45</v>
      </c>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hidden="1" customHeight="1" outlineLevel="1" x14ac:dyDescent="0.15">
      <c r="A295" s="1" t="s">
        <v>46</v>
      </c>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hidden="1" customHeight="1" outlineLevel="1" x14ac:dyDescent="0.15">
      <c r="A296" s="1" t="s">
        <v>47</v>
      </c>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hidden="1" customHeight="1" outlineLevel="1" x14ac:dyDescent="0.15">
      <c r="A297" s="1" t="s">
        <v>48</v>
      </c>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hidden="1" customHeight="1" outlineLevel="1" x14ac:dyDescent="0.15">
      <c r="A298" s="1" t="s">
        <v>150</v>
      </c>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hidden="1" customHeight="1" outlineLevel="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hidden="1" customHeight="1" outlineLevel="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hidden="1" customHeight="1" outlineLevel="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hidden="1" customHeight="1" outlineLevel="1" x14ac:dyDescent="0.15">
      <c r="A302" s="306" t="s">
        <v>235</v>
      </c>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hidden="1" customHeight="1" outlineLevel="1" x14ac:dyDescent="0.15">
      <c r="A303" s="1" t="s">
        <v>118</v>
      </c>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hidden="1" customHeight="1" outlineLevel="1" x14ac:dyDescent="0.15">
      <c r="A304" s="1" t="s">
        <v>27</v>
      </c>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hidden="1" customHeight="1" outlineLevel="1" x14ac:dyDescent="0.15">
      <c r="A305" s="1" t="s">
        <v>28</v>
      </c>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hidden="1" customHeight="1" outlineLevel="1" x14ac:dyDescent="0.15">
      <c r="A306" s="1" t="s">
        <v>29</v>
      </c>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hidden="1" customHeight="1" outlineLevel="1" x14ac:dyDescent="0.15">
      <c r="A307" s="1" t="s">
        <v>30</v>
      </c>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hidden="1" customHeight="1" outlineLevel="1" x14ac:dyDescent="0.15">
      <c r="A308" s="1" t="s">
        <v>31</v>
      </c>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hidden="1" customHeight="1" outlineLevel="1" x14ac:dyDescent="0.15">
      <c r="A309" s="1" t="s">
        <v>32</v>
      </c>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hidden="1" customHeight="1" outlineLevel="1" x14ac:dyDescent="0.15">
      <c r="A310" s="1" t="s">
        <v>33</v>
      </c>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hidden="1" customHeight="1" outlineLevel="1" x14ac:dyDescent="0.15">
      <c r="A311" s="1" t="s">
        <v>34</v>
      </c>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hidden="1" customHeight="1" outlineLevel="1" x14ac:dyDescent="0.15">
      <c r="A312" s="1" t="s">
        <v>37</v>
      </c>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ollapsed="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hidden="1" customHeight="1" outlineLevel="1" x14ac:dyDescent="0.15">
      <c r="A316" s="306" t="s">
        <v>236</v>
      </c>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hidden="1" customHeight="1" outlineLevel="1" x14ac:dyDescent="0.15">
      <c r="A317" s="307"/>
      <c r="B317" s="307">
        <v>1E-3</v>
      </c>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hidden="1" customHeight="1" outlineLevel="1" x14ac:dyDescent="0.15">
      <c r="A318" s="1"/>
      <c r="B318" s="307">
        <v>1E-3</v>
      </c>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hidden="1" customHeight="1" outlineLevel="1" x14ac:dyDescent="0.15">
      <c r="A319" s="1"/>
      <c r="B319" s="307">
        <v>2E-3</v>
      </c>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hidden="1" customHeight="1" outlineLevel="1" x14ac:dyDescent="0.15">
      <c r="A320" s="1"/>
      <c r="B320" s="307">
        <v>3.0000000000000001E-3</v>
      </c>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hidden="1" customHeight="1" outlineLevel="1" x14ac:dyDescent="0.15">
      <c r="A321" s="1"/>
      <c r="B321" s="307">
        <v>4.0000000000000001E-3</v>
      </c>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hidden="1" customHeight="1" outlineLevel="1" x14ac:dyDescent="0.15">
      <c r="A322" s="1"/>
      <c r="B322" s="307">
        <v>5.0000000000000001E-3</v>
      </c>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hidden="1" customHeight="1" outlineLevel="1" x14ac:dyDescent="0.15">
      <c r="A323" s="1"/>
      <c r="B323" s="307">
        <v>6.0000000000000001E-3</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hidden="1" customHeight="1" outlineLevel="1" x14ac:dyDescent="0.15">
      <c r="A324" s="1"/>
      <c r="B324" s="307">
        <v>7.0000000000000001E-3</v>
      </c>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hidden="1" customHeight="1" outlineLevel="1" x14ac:dyDescent="0.15">
      <c r="A325" s="1"/>
      <c r="B325" s="307">
        <v>8.0000000000000002E-3</v>
      </c>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hidden="1" customHeight="1" outlineLevel="1" x14ac:dyDescent="0.15">
      <c r="A326" s="1"/>
      <c r="B326" s="307">
        <v>8.9999999999999993E-3</v>
      </c>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hidden="1" customHeight="1" outlineLevel="1" x14ac:dyDescent="0.15">
      <c r="A327" s="1"/>
      <c r="B327" s="307">
        <v>0.01</v>
      </c>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hidden="1" customHeight="1" outlineLevel="1" x14ac:dyDescent="0.15">
      <c r="A328" s="1"/>
      <c r="B328" s="307">
        <v>1.0999999999999999E-2</v>
      </c>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hidden="1" customHeight="1" outlineLevel="1" x14ac:dyDescent="0.15">
      <c r="A329" s="1"/>
      <c r="B329" s="307">
        <v>1.2E-2</v>
      </c>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hidden="1" customHeight="1" outlineLevel="1" x14ac:dyDescent="0.15">
      <c r="A330" s="1"/>
      <c r="B330" s="307">
        <v>1.2999999999999999E-2</v>
      </c>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hidden="1" customHeight="1" outlineLevel="1" x14ac:dyDescent="0.15">
      <c r="A331" s="1"/>
      <c r="B331" s="307">
        <v>1.4E-2</v>
      </c>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hidden="1" customHeight="1" outlineLevel="1" x14ac:dyDescent="0.15">
      <c r="A332" s="1"/>
      <c r="B332" s="307">
        <v>1.4999999999999999E-2</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hidden="1" customHeight="1" outlineLevel="1" x14ac:dyDescent="0.15">
      <c r="A333" s="1"/>
      <c r="B333" s="307">
        <v>1.6E-2</v>
      </c>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hidden="1" customHeight="1" outlineLevel="1" x14ac:dyDescent="0.15">
      <c r="A334" s="1"/>
      <c r="B334" s="307">
        <v>1.7000000000000001E-2</v>
      </c>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hidden="1" customHeight="1" outlineLevel="1" x14ac:dyDescent="0.15">
      <c r="A335" s="1"/>
      <c r="B335" s="307">
        <v>1.7999999999999999E-2</v>
      </c>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hidden="1" customHeight="1" outlineLevel="1" x14ac:dyDescent="0.15">
      <c r="A336" s="1"/>
      <c r="B336" s="307">
        <v>1.9E-2</v>
      </c>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hidden="1" customHeight="1" outlineLevel="1" x14ac:dyDescent="0.15">
      <c r="A337" s="1"/>
      <c r="B337" s="307">
        <v>0.02</v>
      </c>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hidden="1" customHeight="1" outlineLevel="1" x14ac:dyDescent="0.15">
      <c r="A338" s="1"/>
      <c r="B338" s="307">
        <v>2.1000000000000001E-2</v>
      </c>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hidden="1" customHeight="1" outlineLevel="1" x14ac:dyDescent="0.15">
      <c r="A339" s="1"/>
      <c r="B339" s="307">
        <v>2.1999999999999999E-2</v>
      </c>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hidden="1" customHeight="1" outlineLevel="1" x14ac:dyDescent="0.15">
      <c r="A340" s="1"/>
      <c r="B340" s="307">
        <v>2.3E-2</v>
      </c>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hidden="1" customHeight="1" outlineLevel="1" x14ac:dyDescent="0.15">
      <c r="A341" s="1"/>
      <c r="B341" s="307">
        <v>2.4E-2</v>
      </c>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hidden="1" customHeight="1" outlineLevel="1" x14ac:dyDescent="0.15">
      <c r="A342" s="1"/>
      <c r="B342" s="307">
        <v>2.5000000000000001E-2</v>
      </c>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hidden="1" customHeight="1" outlineLevel="1" x14ac:dyDescent="0.15">
      <c r="A343" s="1"/>
      <c r="B343" s="307">
        <v>2.5999999999999999E-2</v>
      </c>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hidden="1" customHeight="1" outlineLevel="1" x14ac:dyDescent="0.15">
      <c r="A344" s="1"/>
      <c r="B344" s="307">
        <v>2.7E-2</v>
      </c>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hidden="1" customHeight="1" outlineLevel="1" x14ac:dyDescent="0.15">
      <c r="A345" s="1"/>
      <c r="B345" s="307">
        <v>2.8000000000000001E-2</v>
      </c>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hidden="1" customHeight="1" outlineLevel="1" x14ac:dyDescent="0.15">
      <c r="A346" s="1"/>
      <c r="B346" s="307">
        <v>2.9000000000000001E-2</v>
      </c>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hidden="1" customHeight="1" outlineLevel="1" x14ac:dyDescent="0.15">
      <c r="A347" s="1"/>
      <c r="B347" s="307">
        <v>0.03</v>
      </c>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hidden="1" customHeight="1" outlineLevel="1" x14ac:dyDescent="0.15">
      <c r="A348" s="1"/>
      <c r="B348" s="307">
        <v>3.1E-2</v>
      </c>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hidden="1" customHeight="1" outlineLevel="1" x14ac:dyDescent="0.15">
      <c r="A349" s="1"/>
      <c r="B349" s="307">
        <v>3.2000000000000001E-2</v>
      </c>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hidden="1" customHeight="1" outlineLevel="1" x14ac:dyDescent="0.15">
      <c r="A350" s="1"/>
      <c r="B350" s="307">
        <v>3.3000000000000002E-2</v>
      </c>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hidden="1" customHeight="1" outlineLevel="1" x14ac:dyDescent="0.15">
      <c r="A351" s="1"/>
      <c r="B351" s="307">
        <v>3.4000000000000002E-2</v>
      </c>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hidden="1" customHeight="1" outlineLevel="1" x14ac:dyDescent="0.15">
      <c r="A352" s="1"/>
      <c r="B352" s="307">
        <v>3.5000000000000003E-2</v>
      </c>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hidden="1" customHeight="1" outlineLevel="1" x14ac:dyDescent="0.15">
      <c r="A353" s="1"/>
      <c r="B353" s="307">
        <v>3.5999999999999997E-2</v>
      </c>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hidden="1" customHeight="1" outlineLevel="1" x14ac:dyDescent="0.15">
      <c r="A354" s="1"/>
      <c r="B354" s="307">
        <v>3.6999999999999998E-2</v>
      </c>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hidden="1" customHeight="1" outlineLevel="1" x14ac:dyDescent="0.15">
      <c r="A355" s="1"/>
      <c r="B355" s="307">
        <v>3.7999999999999999E-2</v>
      </c>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hidden="1" customHeight="1" outlineLevel="1" x14ac:dyDescent="0.15">
      <c r="A356" s="1"/>
      <c r="B356" s="307">
        <v>3.9E-2</v>
      </c>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hidden="1" customHeight="1" outlineLevel="1" x14ac:dyDescent="0.15">
      <c r="A357" s="1"/>
      <c r="B357" s="307">
        <v>0.04</v>
      </c>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hidden="1" customHeight="1" outlineLevel="1" x14ac:dyDescent="0.15">
      <c r="A358" s="1"/>
      <c r="B358" s="307">
        <v>4.1000000000000002E-2</v>
      </c>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hidden="1" customHeight="1" outlineLevel="1" x14ac:dyDescent="0.15">
      <c r="A359" s="1"/>
      <c r="B359" s="307">
        <v>4.2000000000000003E-2</v>
      </c>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hidden="1" customHeight="1" outlineLevel="1" x14ac:dyDescent="0.15">
      <c r="A360" s="1"/>
      <c r="B360" s="307">
        <v>4.2999999999999997E-2</v>
      </c>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hidden="1" customHeight="1" outlineLevel="1" x14ac:dyDescent="0.15">
      <c r="A361" s="1"/>
      <c r="B361" s="307">
        <v>4.3999999999999997E-2</v>
      </c>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hidden="1" customHeight="1" outlineLevel="1" x14ac:dyDescent="0.15">
      <c r="A362" s="1"/>
      <c r="B362" s="307">
        <v>4.4999999999999998E-2</v>
      </c>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hidden="1" customHeight="1" outlineLevel="1" x14ac:dyDescent="0.15">
      <c r="A363" s="1"/>
      <c r="B363" s="307">
        <v>4.5999999999999999E-2</v>
      </c>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hidden="1" customHeight="1" outlineLevel="1" x14ac:dyDescent="0.15">
      <c r="A364" s="1"/>
      <c r="B364" s="307">
        <v>4.7E-2</v>
      </c>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hidden="1" customHeight="1" outlineLevel="1" x14ac:dyDescent="0.15">
      <c r="A365" s="1"/>
      <c r="B365" s="307">
        <v>4.8000000000000001E-2</v>
      </c>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hidden="1" customHeight="1" outlineLevel="1" x14ac:dyDescent="0.15">
      <c r="A366" s="1"/>
      <c r="B366" s="307">
        <v>4.9000000000000002E-2</v>
      </c>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hidden="1" customHeight="1" outlineLevel="1" x14ac:dyDescent="0.15">
      <c r="A367" s="1"/>
      <c r="B367" s="307">
        <v>0.05</v>
      </c>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hidden="1" customHeight="1" outlineLevel="1" x14ac:dyDescent="0.15">
      <c r="A368" s="1"/>
      <c r="B368" s="307">
        <v>5.0999999999999997E-2</v>
      </c>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hidden="1" customHeight="1" outlineLevel="1" x14ac:dyDescent="0.15">
      <c r="A369" s="1"/>
      <c r="B369" s="307">
        <v>5.1999999999999998E-2</v>
      </c>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hidden="1" customHeight="1" outlineLevel="1" x14ac:dyDescent="0.15">
      <c r="A370" s="1"/>
      <c r="B370" s="307">
        <v>5.2999999999999999E-2</v>
      </c>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hidden="1" customHeight="1" outlineLevel="1" x14ac:dyDescent="0.15">
      <c r="A371" s="1"/>
      <c r="B371" s="307">
        <v>5.3999999999999999E-2</v>
      </c>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hidden="1" customHeight="1" outlineLevel="1" x14ac:dyDescent="0.15">
      <c r="A372" s="1"/>
      <c r="B372" s="307">
        <v>5.5E-2</v>
      </c>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hidden="1" customHeight="1" outlineLevel="1" x14ac:dyDescent="0.15">
      <c r="A373" s="1"/>
      <c r="B373" s="307">
        <v>5.6000000000000001E-2</v>
      </c>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hidden="1" customHeight="1" outlineLevel="1" x14ac:dyDescent="0.15">
      <c r="A374" s="1"/>
      <c r="B374" s="307">
        <v>5.7000000000000002E-2</v>
      </c>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hidden="1" customHeight="1" outlineLevel="1" x14ac:dyDescent="0.15">
      <c r="A375" s="1"/>
      <c r="B375" s="307">
        <v>5.8000000000000003E-2</v>
      </c>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hidden="1" customHeight="1" outlineLevel="1" x14ac:dyDescent="0.15">
      <c r="A376" s="1"/>
      <c r="B376" s="307">
        <v>5.8999999999999997E-2</v>
      </c>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hidden="1" customHeight="1" outlineLevel="1" x14ac:dyDescent="0.15">
      <c r="A377" s="1"/>
      <c r="B377" s="307">
        <v>0.06</v>
      </c>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hidden="1" customHeight="1" outlineLevel="1" x14ac:dyDescent="0.15">
      <c r="A378" s="1"/>
      <c r="B378" s="307">
        <v>6.0999999999999999E-2</v>
      </c>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hidden="1" customHeight="1" outlineLevel="1" x14ac:dyDescent="0.15">
      <c r="A379" s="1"/>
      <c r="B379" s="307">
        <v>6.2E-2</v>
      </c>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hidden="1" customHeight="1" outlineLevel="1" x14ac:dyDescent="0.15">
      <c r="A380" s="1"/>
      <c r="B380" s="307">
        <v>6.3E-2</v>
      </c>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hidden="1" customHeight="1" outlineLevel="1" x14ac:dyDescent="0.15">
      <c r="A381" s="1"/>
      <c r="B381" s="307">
        <v>6.4000000000000001E-2</v>
      </c>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hidden="1" customHeight="1" outlineLevel="1" x14ac:dyDescent="0.15">
      <c r="A382" s="1"/>
      <c r="B382" s="307">
        <v>6.5000000000000002E-2</v>
      </c>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hidden="1" customHeight="1" outlineLevel="1" x14ac:dyDescent="0.15">
      <c r="A383" s="1"/>
      <c r="B383" s="307">
        <v>6.6000000000000003E-2</v>
      </c>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hidden="1" customHeight="1" outlineLevel="1" x14ac:dyDescent="0.15">
      <c r="A384" s="1"/>
      <c r="B384" s="307">
        <v>6.7000000000000004E-2</v>
      </c>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hidden="1" customHeight="1" outlineLevel="1" x14ac:dyDescent="0.15">
      <c r="A385" s="1"/>
      <c r="B385" s="307">
        <v>6.8000000000000005E-2</v>
      </c>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hidden="1" customHeight="1" outlineLevel="1" x14ac:dyDescent="0.15">
      <c r="A386" s="1"/>
      <c r="B386" s="307">
        <v>6.9000000000000006E-2</v>
      </c>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hidden="1" customHeight="1" outlineLevel="1" x14ac:dyDescent="0.15">
      <c r="A387" s="1"/>
      <c r="B387" s="307">
        <v>7.0000000000000007E-2</v>
      </c>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hidden="1" customHeight="1" outlineLevel="1" x14ac:dyDescent="0.15">
      <c r="A388" s="1"/>
      <c r="B388" s="307">
        <v>7.0999999999999994E-2</v>
      </c>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hidden="1" customHeight="1" outlineLevel="1" x14ac:dyDescent="0.15">
      <c r="A389" s="1"/>
      <c r="B389" s="307">
        <v>7.1999999999999995E-2</v>
      </c>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hidden="1" customHeight="1" outlineLevel="1" x14ac:dyDescent="0.15">
      <c r="A390" s="1"/>
      <c r="B390" s="307">
        <v>7.2999999999999995E-2</v>
      </c>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hidden="1" customHeight="1" outlineLevel="1" x14ac:dyDescent="0.15">
      <c r="A391" s="1"/>
      <c r="B391" s="307">
        <v>7.3999999999999996E-2</v>
      </c>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hidden="1" customHeight="1" outlineLevel="1" x14ac:dyDescent="0.15">
      <c r="A392" s="1"/>
      <c r="B392" s="307">
        <v>7.4999999999999997E-2</v>
      </c>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hidden="1" customHeight="1" outlineLevel="1" x14ac:dyDescent="0.15">
      <c r="A393" s="1"/>
      <c r="B393" s="307">
        <v>7.5999999999999998E-2</v>
      </c>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hidden="1" customHeight="1" outlineLevel="1" x14ac:dyDescent="0.15">
      <c r="A394" s="1"/>
      <c r="B394" s="307">
        <v>7.6999999999999999E-2</v>
      </c>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hidden="1" customHeight="1" outlineLevel="1" x14ac:dyDescent="0.15">
      <c r="A395" s="1"/>
      <c r="B395" s="307">
        <v>7.8E-2</v>
      </c>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hidden="1" customHeight="1" outlineLevel="1" x14ac:dyDescent="0.15">
      <c r="A396" s="1"/>
      <c r="B396" s="307">
        <v>7.9000000000000001E-2</v>
      </c>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hidden="1" customHeight="1" outlineLevel="1" x14ac:dyDescent="0.15">
      <c r="A397" s="1"/>
      <c r="B397" s="307">
        <v>0.08</v>
      </c>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hidden="1" customHeight="1" outlineLevel="1" x14ac:dyDescent="0.15">
      <c r="A398" s="1"/>
      <c r="B398" s="307">
        <v>8.1000000000000003E-2</v>
      </c>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hidden="1" customHeight="1" outlineLevel="1" x14ac:dyDescent="0.15">
      <c r="A399" s="1"/>
      <c r="B399" s="307">
        <v>8.2000000000000003E-2</v>
      </c>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hidden="1" customHeight="1" outlineLevel="1" x14ac:dyDescent="0.15">
      <c r="A400" s="1"/>
      <c r="B400" s="307">
        <v>8.3000000000000004E-2</v>
      </c>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hidden="1" customHeight="1" outlineLevel="1" x14ac:dyDescent="0.15">
      <c r="A401" s="1"/>
      <c r="B401" s="307">
        <v>8.4000000000000005E-2</v>
      </c>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hidden="1" customHeight="1" outlineLevel="1" x14ac:dyDescent="0.15">
      <c r="A402" s="1"/>
      <c r="B402" s="307">
        <v>8.5000000000000006E-2</v>
      </c>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hidden="1" customHeight="1" outlineLevel="1" x14ac:dyDescent="0.15">
      <c r="A403" s="1"/>
      <c r="B403" s="307">
        <v>8.5999999999999993E-2</v>
      </c>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hidden="1" customHeight="1" outlineLevel="1" x14ac:dyDescent="0.15">
      <c r="A404" s="1"/>
      <c r="B404" s="307">
        <v>8.6999999999999994E-2</v>
      </c>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hidden="1" customHeight="1" outlineLevel="1" x14ac:dyDescent="0.15">
      <c r="A405" s="1"/>
      <c r="B405" s="307">
        <v>8.7999999999999995E-2</v>
      </c>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hidden="1" customHeight="1" outlineLevel="1" x14ac:dyDescent="0.15">
      <c r="A406" s="1"/>
      <c r="B406" s="307">
        <v>8.8999999999999996E-2</v>
      </c>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hidden="1" customHeight="1" outlineLevel="1" x14ac:dyDescent="0.15">
      <c r="A407" s="1"/>
      <c r="B407" s="307">
        <v>0.09</v>
      </c>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hidden="1" customHeight="1" outlineLevel="1" x14ac:dyDescent="0.15">
      <c r="A408" s="1"/>
      <c r="B408" s="307">
        <v>9.0999999999999998E-2</v>
      </c>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hidden="1" customHeight="1" outlineLevel="1" x14ac:dyDescent="0.15">
      <c r="A409" s="1"/>
      <c r="B409" s="307">
        <v>9.1999999999999998E-2</v>
      </c>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hidden="1" customHeight="1" outlineLevel="1" x14ac:dyDescent="0.15">
      <c r="A410" s="1"/>
      <c r="B410" s="307">
        <v>9.2999999999999999E-2</v>
      </c>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hidden="1" customHeight="1" outlineLevel="1" x14ac:dyDescent="0.15">
      <c r="A411" s="1"/>
      <c r="B411" s="307">
        <v>9.4E-2</v>
      </c>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hidden="1" customHeight="1" outlineLevel="1" x14ac:dyDescent="0.15">
      <c r="A412" s="1"/>
      <c r="B412" s="307">
        <v>9.5000000000000001E-2</v>
      </c>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hidden="1" customHeight="1" outlineLevel="1" x14ac:dyDescent="0.15">
      <c r="A413" s="1"/>
      <c r="B413" s="307">
        <v>9.6000000000000002E-2</v>
      </c>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hidden="1" customHeight="1" outlineLevel="1" x14ac:dyDescent="0.15">
      <c r="A414" s="1"/>
      <c r="B414" s="307">
        <v>9.7000000000000003E-2</v>
      </c>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hidden="1" customHeight="1" outlineLevel="1" x14ac:dyDescent="0.15">
      <c r="A415" s="1"/>
      <c r="B415" s="307">
        <v>9.8000000000000004E-2</v>
      </c>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hidden="1" customHeight="1" outlineLevel="1" x14ac:dyDescent="0.15">
      <c r="A416" s="1"/>
      <c r="B416" s="307">
        <v>9.9000000000000005E-2</v>
      </c>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hidden="1" customHeight="1" outlineLevel="1" x14ac:dyDescent="0.15">
      <c r="A417" s="1"/>
      <c r="B417" s="307">
        <v>0.1</v>
      </c>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ollapsed="1" x14ac:dyDescent="0.15">
      <c r="A418" s="1"/>
      <c r="B418" s="307"/>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15"/>
    <row r="619" spans="1:26" ht="15.75" customHeight="1" x14ac:dyDescent="0.15"/>
    <row r="620" spans="1:26" ht="15.75" customHeight="1" x14ac:dyDescent="0.15"/>
    <row r="621" spans="1:26" ht="15.75" customHeight="1" x14ac:dyDescent="0.15"/>
    <row r="622" spans="1:26" ht="15.75" customHeight="1" x14ac:dyDescent="0.15"/>
    <row r="623" spans="1:26" ht="15.75" customHeight="1" x14ac:dyDescent="0.15"/>
    <row r="624" spans="1:26"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sheetProtection sheet="1" formatCells="0" formatColumns="0" formatRows="0" insertColumns="0" insertRows="0" insertHyperlinks="0" deleteColumns="0" deleteRows="0" sort="0" autoFilter="0" pivotTables="0"/>
  <mergeCells count="20">
    <mergeCell ref="B201:J201"/>
    <mergeCell ref="B202:J202"/>
    <mergeCell ref="B255:J255"/>
    <mergeCell ref="B115:J115"/>
    <mergeCell ref="B117:J117"/>
    <mergeCell ref="B118:J118"/>
    <mergeCell ref="B171:J171"/>
    <mergeCell ref="B173:H173"/>
    <mergeCell ref="B174:H174"/>
    <mergeCell ref="B181:H181"/>
    <mergeCell ref="B105:H105"/>
    <mergeCell ref="N115:O115"/>
    <mergeCell ref="B182:H182"/>
    <mergeCell ref="B191:H191"/>
    <mergeCell ref="B192:H192"/>
    <mergeCell ref="A1:G1"/>
    <mergeCell ref="H1:K1"/>
    <mergeCell ref="B3:G3"/>
    <mergeCell ref="B4:J4"/>
    <mergeCell ref="B104:J104"/>
  </mergeCells>
  <conditionalFormatting sqref="B122:J133 B137:B160 J137:J160 C138 C140 C142 C144 C146 C148 C150 C152 C154 C156:C160 D157:I160">
    <cfRule type="expression" dxfId="19" priority="1">
      <formula>#REF!</formula>
    </cfRule>
  </conditionalFormatting>
  <conditionalFormatting sqref="C137 C139 C141 C143 C145 C147 C149 C151 C153 C155 J221:J241 C222:I241 B239:B242 B244 D137:I156">
    <cfRule type="expression" dxfId="18" priority="2">
      <formula>#REF!</formula>
    </cfRule>
  </conditionalFormatting>
  <conditionalFormatting sqref="B214">
    <cfRule type="expression" dxfId="17" priority="3">
      <formula>#REF!</formula>
    </cfRule>
  </conditionalFormatting>
  <conditionalFormatting sqref="B215 B217">
    <cfRule type="expression" dxfId="16" priority="4">
      <formula>#REF!</formula>
    </cfRule>
  </conditionalFormatting>
  <conditionalFormatting sqref="J216">
    <cfRule type="expression" dxfId="15" priority="5">
      <formula>#REF!</formula>
    </cfRule>
  </conditionalFormatting>
  <conditionalFormatting sqref="C206:J213">
    <cfRule type="expression" dxfId="14" priority="6">
      <formula>#REF!</formula>
    </cfRule>
  </conditionalFormatting>
  <conditionalFormatting sqref="C214:J214">
    <cfRule type="expression" dxfId="13" priority="7">
      <formula>#REF!</formula>
    </cfRule>
  </conditionalFormatting>
  <conditionalFormatting sqref="C215:J215">
    <cfRule type="expression" dxfId="12" priority="8">
      <formula>#REF!</formula>
    </cfRule>
  </conditionalFormatting>
  <conditionalFormatting sqref="C216:I216">
    <cfRule type="expression" dxfId="11" priority="9">
      <formula>#REF!</formula>
    </cfRule>
  </conditionalFormatting>
  <conditionalFormatting sqref="C217:J217">
    <cfRule type="expression" dxfId="10" priority="10">
      <formula>#REF!</formula>
    </cfRule>
  </conditionalFormatting>
  <conditionalFormatting sqref="C242:J242">
    <cfRule type="expression" dxfId="9" priority="11">
      <formula>#REF!</formula>
    </cfRule>
  </conditionalFormatting>
  <conditionalFormatting sqref="C243:I243">
    <cfRule type="expression" dxfId="8" priority="12">
      <formula>#REF!</formula>
    </cfRule>
  </conditionalFormatting>
  <conditionalFormatting sqref="C244:J244">
    <cfRule type="expression" dxfId="7" priority="13">
      <formula>#REF!</formula>
    </cfRule>
  </conditionalFormatting>
  <conditionalFormatting sqref="C221:I221">
    <cfRule type="expression" dxfId="6" priority="14">
      <formula>#REF!</formula>
    </cfRule>
  </conditionalFormatting>
  <conditionalFormatting sqref="J243">
    <cfRule type="expression" dxfId="5" priority="15">
      <formula>#REF!</formula>
    </cfRule>
  </conditionalFormatting>
  <conditionalFormatting sqref="B206:B213">
    <cfRule type="expression" dxfId="4" priority="16">
      <formula>#REF!</formula>
    </cfRule>
  </conditionalFormatting>
  <conditionalFormatting sqref="B216">
    <cfRule type="expression" dxfId="3" priority="17">
      <formula>#REF!</formula>
    </cfRule>
  </conditionalFormatting>
  <conditionalFormatting sqref="B221">
    <cfRule type="expression" dxfId="2" priority="18">
      <formula>#REF!</formula>
    </cfRule>
  </conditionalFormatting>
  <conditionalFormatting sqref="B222:B238">
    <cfRule type="expression" dxfId="1" priority="19">
      <formula>#REF!</formula>
    </cfRule>
  </conditionalFormatting>
  <conditionalFormatting sqref="B243">
    <cfRule type="expression" dxfId="0" priority="20">
      <formula>#REF!</formula>
    </cfRule>
  </conditionalFormatting>
  <dataValidations count="5">
    <dataValidation type="list" allowBlank="1" showErrorMessage="1" sqref="N7:N31" xr:uid="{00000000-0002-0000-0400-000000000000}">
      <formula1>Postes_Bud_Revenus</formula1>
    </dataValidation>
    <dataValidation type="list" allowBlank="1" sqref="E107:I107" xr:uid="{00000000-0002-0000-0400-000003000000}">
      <formula1>Taux_interets</formula1>
    </dataValidation>
    <dataValidation type="decimal" operator="greaterThan" allowBlank="1" showInputMessage="1" showErrorMessage="1" prompt="Cette cellule n'accepte que des nombres." sqref="E7:I31 E37:I85 F97:I97 E98:I99" xr:uid="{00000000-0002-0000-0400-000005000000}">
      <formula1>-9.99999999999999E+46</formula1>
    </dataValidation>
    <dataValidation type="list" allowBlank="1" showErrorMessage="1" sqref="N37:N85" xr:uid="{00000000-0002-0000-0400-000008000000}">
      <formula1>Principaux_portefeuilles</formula1>
    </dataValidation>
    <dataValidation type="list" allowBlank="1" showErrorMessage="1" sqref="N32" xr:uid="{00000000-0002-0000-0400-000009000000}">
      <formula1>$A$303:$A$312</formula1>
    </dataValidation>
  </dataValidations>
  <printOptions horizontalCentered="1"/>
  <pageMargins left="0.23622047244094491" right="0.23622047244094491" top="0.74803149606299213" bottom="0.74803149606299213" header="0" footer="0"/>
  <pageSetup pageOrder="overThenDown" orientation="portrait" cellComments="atEnd"/>
  <rowBreaks count="3" manualBreakCount="3">
    <brk id="116" man="1"/>
    <brk id="200" man="1"/>
    <brk id="171" man="1"/>
  </rowBreaks>
  <colBreaks count="1" manualBreakCount="1">
    <brk id="10" man="1"/>
  </colBreaks>
  <extLst>
    <ext xmlns:x14="http://schemas.microsoft.com/office/spreadsheetml/2009/9/main" uri="{CCE6A557-97BC-4b89-ADB6-D9C93CAAB3DF}">
      <x14:dataValidations xmlns:xm="http://schemas.microsoft.com/office/excel/2006/main" count="5">
        <x14:dataValidation type="decimal" operator="lessThanOrEqual" allowBlank="1" showInputMessage="1" showErrorMessage="1" prompt="La diminution demandée est plus grande que le montant prévu au cadre financier du rapport préélectoral." xr:uid="{00000000-0002-0000-0400-000001000000}">
          <x14:formula1>
            <xm:f>-C_Financier!$E$57</xm:f>
          </x14:formula1>
          <xm:sqref>E91:I91</xm:sqref>
        </x14:dataValidation>
        <x14:dataValidation type="decimal" operator="lessThanOrEqual" allowBlank="1" showInputMessage="1" showErrorMessage="1" prompt="La diminution demandée est plus grande que le montant prévu au cadre financier du rapport préélectoral." xr:uid="{00000000-0002-0000-0400-000002000000}">
          <x14:formula1>
            <xm:f>-C_Financier!E62</xm:f>
          </x14:formula1>
          <xm:sqref>E92:I92</xm:sqref>
        </x14:dataValidation>
        <x14:dataValidation type="decimal" operator="lessThanOrEqual" allowBlank="1" showInputMessage="1" showErrorMessage="1" prompt="La diminution demandée est plus grande que le montant prévu au cadre financier du rapport préélectoral." xr:uid="{00000000-0002-0000-0400-000004000000}">
          <x14:formula1>
            <xm:f>PQI!C7</xm:f>
          </x14:formula1>
          <xm:sqref>E97</xm:sqref>
        </x14:dataValidation>
        <x14:dataValidation type="decimal" operator="lessThanOrEqual" allowBlank="1" showInputMessage="1" showErrorMessage="1" prompt="Le montant des revenus consacrés au Fonds des générations ne peut être supérieur à 0." xr:uid="{00000000-0002-0000-0400-000006000000}">
          <x14:formula1>
            <xm:f>-C_Financier!F63</xm:f>
          </x14:formula1>
          <xm:sqref>F93:I93</xm:sqref>
        </x14:dataValidation>
        <x14:dataValidation type="decimal" operator="lessThanOrEqual" allowBlank="1" showInputMessage="1" showErrorMessage="1" prompt="Le montant des versements des revenus dédiés au Fonds des générations ne peut être supérieur à 0." xr:uid="{00000000-0002-0000-0400-000007000000}">
          <x14:formula1>
            <xm:f>-C_Financier!E63</xm:f>
          </x14:formula1>
          <xm:sqref>E96:I96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22"/>
  <sheetViews>
    <sheetView zoomScaleNormal="100" workbookViewId="0">
      <selection activeCell="G4" sqref="G4"/>
    </sheetView>
  </sheetViews>
  <sheetFormatPr baseColWidth="10" defaultColWidth="12.6640625" defaultRowHeight="13" x14ac:dyDescent="0.15"/>
  <cols>
    <col min="1" max="1" width="30.5" customWidth="1"/>
  </cols>
  <sheetData>
    <row r="1" spans="1:8" x14ac:dyDescent="0.15">
      <c r="A1" s="308" t="s">
        <v>237</v>
      </c>
      <c r="B1" s="102" t="s">
        <v>20</v>
      </c>
      <c r="C1" s="102" t="s">
        <v>21</v>
      </c>
      <c r="D1" s="102" t="s">
        <v>22</v>
      </c>
      <c r="E1" s="102" t="s">
        <v>23</v>
      </c>
      <c r="F1" s="102" t="s">
        <v>24</v>
      </c>
    </row>
    <row r="2" spans="1:8" x14ac:dyDescent="0.15">
      <c r="A2" s="309" t="s">
        <v>35</v>
      </c>
      <c r="B2" s="310">
        <f>C_Financier!E18</f>
        <v>114870</v>
      </c>
      <c r="C2" s="310">
        <f>C_Financier!F18</f>
        <v>118981</v>
      </c>
      <c r="D2" s="310">
        <f>C_Financier!G18</f>
        <v>123488</v>
      </c>
      <c r="E2" s="310">
        <f>C_Financier!H18</f>
        <v>127316</v>
      </c>
      <c r="F2" s="310">
        <f>C_Financier!I18</f>
        <v>131641</v>
      </c>
    </row>
    <row r="3" spans="1:8" x14ac:dyDescent="0.15">
      <c r="A3" s="309" t="s">
        <v>37</v>
      </c>
      <c r="B3" s="310">
        <f>C_Financier!E21</f>
        <v>29600</v>
      </c>
      <c r="C3" s="310">
        <f>C_Financier!F21</f>
        <v>29631</v>
      </c>
      <c r="D3" s="310">
        <f>C_Financier!G21</f>
        <v>29921</v>
      </c>
      <c r="E3" s="310">
        <f>C_Financier!H21</f>
        <v>31813</v>
      </c>
      <c r="F3" s="310">
        <f>C_Financier!I21</f>
        <v>32345</v>
      </c>
    </row>
    <row r="4" spans="1:8" x14ac:dyDescent="0.15">
      <c r="A4" s="309" t="s">
        <v>238</v>
      </c>
      <c r="B4" s="310">
        <f>Simulation!E33</f>
        <v>979.625</v>
      </c>
      <c r="C4" s="310">
        <f>Simulation!F33</f>
        <v>2124.9775</v>
      </c>
      <c r="D4" s="310">
        <f>Simulation!G33</f>
        <v>2840.4580000000001</v>
      </c>
      <c r="E4" s="310">
        <f>Simulation!H33</f>
        <v>3108.963025</v>
      </c>
      <c r="F4" s="310">
        <f>Simulation!I33</f>
        <v>3276.5465887499995</v>
      </c>
    </row>
    <row r="5" spans="1:8" x14ac:dyDescent="0.15">
      <c r="A5" s="311" t="s">
        <v>239</v>
      </c>
      <c r="B5" s="310">
        <f t="shared" ref="B5:F5" si="0">SUM(B2:B4)</f>
        <v>145449.625</v>
      </c>
      <c r="C5" s="310">
        <f t="shared" si="0"/>
        <v>150736.97750000001</v>
      </c>
      <c r="D5" s="310">
        <f t="shared" si="0"/>
        <v>156249.45800000001</v>
      </c>
      <c r="E5" s="310">
        <f t="shared" si="0"/>
        <v>162237.963025</v>
      </c>
      <c r="F5" s="310">
        <f t="shared" si="0"/>
        <v>167262.54658875</v>
      </c>
    </row>
    <row r="7" spans="1:8" x14ac:dyDescent="0.15">
      <c r="A7" s="308" t="s">
        <v>240</v>
      </c>
      <c r="B7" s="102" t="s">
        <v>20</v>
      </c>
      <c r="C7" s="102" t="s">
        <v>21</v>
      </c>
      <c r="D7" s="102" t="s">
        <v>22</v>
      </c>
      <c r="E7" s="102" t="s">
        <v>23</v>
      </c>
      <c r="F7" s="102" t="s">
        <v>24</v>
      </c>
    </row>
    <row r="8" spans="1:8" x14ac:dyDescent="0.15">
      <c r="A8" s="309" t="s">
        <v>50</v>
      </c>
      <c r="B8" s="310">
        <f>C_Financier!E48</f>
        <v>-128153.99999999999</v>
      </c>
      <c r="C8" s="310">
        <f>C_Financier!F48</f>
        <v>-134472</v>
      </c>
      <c r="D8" s="310">
        <f>C_Financier!G48</f>
        <v>-138370</v>
      </c>
      <c r="E8" s="310">
        <f>C_Financier!H48</f>
        <v>-144246</v>
      </c>
      <c r="F8" s="310">
        <f>C_Financier!I48</f>
        <v>-147959</v>
      </c>
    </row>
    <row r="9" spans="1:8" x14ac:dyDescent="0.15">
      <c r="A9" s="309" t="s">
        <v>241</v>
      </c>
      <c r="B9" s="310">
        <f>Simulation!E97</f>
        <v>0</v>
      </c>
      <c r="C9" s="310">
        <f>Simulation!F97</f>
        <v>-1075</v>
      </c>
      <c r="D9" s="310">
        <f>Simulation!G97</f>
        <v>-1575</v>
      </c>
      <c r="E9" s="310">
        <f>Simulation!H97</f>
        <v>-2075</v>
      </c>
      <c r="F9" s="310">
        <f>Simulation!I97</f>
        <v>-2575</v>
      </c>
    </row>
    <row r="10" spans="1:8" x14ac:dyDescent="0.15">
      <c r="A10" s="309" t="s">
        <v>212</v>
      </c>
      <c r="B10" s="310">
        <f>Simulation!E114</f>
        <v>-10358</v>
      </c>
      <c r="C10" s="310">
        <f>Simulation!F114</f>
        <v>-9148</v>
      </c>
      <c r="D10" s="310">
        <f>Simulation!G114</f>
        <v>-10017</v>
      </c>
      <c r="E10" s="310">
        <f>Simulation!H114</f>
        <v>-10127</v>
      </c>
      <c r="F10" s="310">
        <f>Simulation!I114</f>
        <v>-11011</v>
      </c>
    </row>
    <row r="11" spans="1:8" x14ac:dyDescent="0.15">
      <c r="A11" s="309" t="s">
        <v>242</v>
      </c>
      <c r="B11" s="310">
        <f>Simulation!E87</f>
        <v>-6730.6</v>
      </c>
      <c r="C11" s="310">
        <f>Simulation!F87</f>
        <v>-4891.4974999999995</v>
      </c>
      <c r="D11" s="310">
        <f>Simulation!G87</f>
        <v>-5393.7499374999989</v>
      </c>
      <c r="E11" s="310">
        <f>Simulation!H87</f>
        <v>-5838.5111859374992</v>
      </c>
      <c r="F11" s="310">
        <f>Simulation!I87</f>
        <v>-6839.1149387109344</v>
      </c>
    </row>
    <row r="12" spans="1:8" x14ac:dyDescent="0.15">
      <c r="A12" s="311" t="s">
        <v>243</v>
      </c>
      <c r="B12" s="310">
        <f>SUM(B8,B10:B11)</f>
        <v>-145242.6</v>
      </c>
      <c r="C12" s="310">
        <f>SUM(C8,C10:C11)</f>
        <v>-148511.4975</v>
      </c>
      <c r="D12" s="310">
        <f>SUM(D8,D10:D11)</f>
        <v>-153780.74993749999</v>
      </c>
      <c r="E12" s="310">
        <f>SUM(E8,E10:E11)</f>
        <v>-160211.5111859375</v>
      </c>
      <c r="F12" s="310">
        <f>SUM(F8,F10:F11)</f>
        <v>-165809.11493871093</v>
      </c>
    </row>
    <row r="14" spans="1:8" x14ac:dyDescent="0.15">
      <c r="A14" s="312" t="s">
        <v>196</v>
      </c>
      <c r="B14" s="102" t="s">
        <v>20</v>
      </c>
      <c r="C14" s="102" t="s">
        <v>21</v>
      </c>
      <c r="D14" s="102" t="s">
        <v>22</v>
      </c>
      <c r="E14" s="102" t="s">
        <v>23</v>
      </c>
      <c r="F14" s="102" t="s">
        <v>24</v>
      </c>
    </row>
    <row r="15" spans="1:8" ht="28" x14ac:dyDescent="0.15">
      <c r="A15" s="74" t="s">
        <v>53</v>
      </c>
      <c r="B15" s="270">
        <f>Simulation!E162</f>
        <v>-2355</v>
      </c>
      <c r="C15" s="270">
        <f>Simulation!F162</f>
        <v>-462</v>
      </c>
      <c r="D15" s="270">
        <f>Simulation!G162</f>
        <v>-18</v>
      </c>
      <c r="E15" s="270">
        <f>Simulation!H162</f>
        <v>0</v>
      </c>
      <c r="F15" s="270">
        <f>Simulation!I162</f>
        <v>0</v>
      </c>
      <c r="G15" s="270"/>
      <c r="H15" s="270"/>
    </row>
    <row r="16" spans="1:8" x14ac:dyDescent="0.15">
      <c r="A16" s="309" t="s">
        <v>244</v>
      </c>
      <c r="B16" s="199">
        <v>0</v>
      </c>
      <c r="C16" s="199">
        <v>0</v>
      </c>
      <c r="D16" s="199">
        <v>0</v>
      </c>
      <c r="E16" s="199">
        <v>0</v>
      </c>
      <c r="F16" s="199">
        <v>0</v>
      </c>
    </row>
    <row r="18" spans="1:6" ht="14" x14ac:dyDescent="0.15">
      <c r="A18" s="313" t="s">
        <v>55</v>
      </c>
      <c r="B18" s="314">
        <f t="shared" ref="B18:F18" si="1">B5+B12+B15</f>
        <v>-2147.9750000000058</v>
      </c>
      <c r="C18" s="314">
        <f>C5+C12+C15</f>
        <v>1763.4800000000105</v>
      </c>
      <c r="D18" s="314">
        <f t="shared" si="1"/>
        <v>2450.7080625000235</v>
      </c>
      <c r="E18" s="314">
        <f t="shared" si="1"/>
        <v>2026.4518390625017</v>
      </c>
      <c r="F18" s="314">
        <f t="shared" si="1"/>
        <v>1453.4316500390705</v>
      </c>
    </row>
    <row r="19" spans="1:6" ht="28" x14ac:dyDescent="0.15">
      <c r="A19" s="86" t="s">
        <v>57</v>
      </c>
      <c r="B19" s="310">
        <f>C_Financier!E62+Simulation!E92</f>
        <v>-3428</v>
      </c>
      <c r="C19" s="310">
        <f>C_Financier!F62+Simulation!F92</f>
        <v>-1480</v>
      </c>
      <c r="D19" s="310">
        <f>C_Financier!G62+Simulation!G92</f>
        <v>-2009.1250000000005</v>
      </c>
      <c r="E19" s="310">
        <f>C_Financier!H62+Simulation!H92</f>
        <v>-2199.7031250000009</v>
      </c>
      <c r="F19" s="310">
        <f>C_Financier!I62+Simulation!I92</f>
        <v>-2497.6957031250013</v>
      </c>
    </row>
    <row r="20" spans="1:6" ht="42" x14ac:dyDescent="0.15">
      <c r="A20" s="315" t="s">
        <v>59</v>
      </c>
      <c r="B20" s="314">
        <f t="shared" ref="B20:F20" si="2">B18+B19</f>
        <v>-5575.9750000000058</v>
      </c>
      <c r="C20" s="314">
        <f>C18+C19</f>
        <v>283.48000000001048</v>
      </c>
      <c r="D20" s="314">
        <f t="shared" si="2"/>
        <v>441.58306250002306</v>
      </c>
      <c r="E20" s="314">
        <f t="shared" si="2"/>
        <v>-173.25128593749923</v>
      </c>
      <c r="F20" s="314">
        <f t="shared" si="2"/>
        <v>-1044.2640530859308</v>
      </c>
    </row>
    <row r="21" spans="1:6" ht="29" thickBot="1" x14ac:dyDescent="0.2">
      <c r="A21" s="86" t="s">
        <v>60</v>
      </c>
      <c r="B21" s="310">
        <f>Simulation!E169</f>
        <v>927</v>
      </c>
      <c r="C21" s="310">
        <f>Simulation!F169</f>
        <v>0</v>
      </c>
      <c r="D21" s="310">
        <f>Simulation!G169</f>
        <v>0</v>
      </c>
      <c r="E21" s="310">
        <f>Simulation!H169</f>
        <v>173.25128600000085</v>
      </c>
      <c r="F21" s="310">
        <f>Simulation!I169</f>
        <v>551.81177599999887</v>
      </c>
    </row>
    <row r="22" spans="1:6" ht="15" thickBot="1" x14ac:dyDescent="0.2">
      <c r="A22" s="316" t="s">
        <v>245</v>
      </c>
      <c r="B22" s="317">
        <f t="shared" ref="B22:F22" si="3">B20+B21</f>
        <v>-4648.9750000000058</v>
      </c>
      <c r="C22" s="317">
        <f t="shared" si="3"/>
        <v>283.48000000001048</v>
      </c>
      <c r="D22" s="317">
        <f t="shared" si="3"/>
        <v>441.58306250002306</v>
      </c>
      <c r="E22" s="317">
        <f t="shared" si="3"/>
        <v>6.2501612774212845E-8</v>
      </c>
      <c r="F22" s="318">
        <f t="shared" si="3"/>
        <v>-492.45227708593188</v>
      </c>
    </row>
  </sheetData>
  <sheetProtection sheet="1"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Feuilles de calcul</vt:lpstr>
      </vt:variant>
      <vt:variant>
        <vt:i4>6</vt:i4>
      </vt:variant>
      <vt:variant>
        <vt:lpstr>Graphiques</vt:lpstr>
      </vt:variant>
      <vt:variant>
        <vt:i4>1</vt:i4>
      </vt:variant>
      <vt:variant>
        <vt:lpstr>Plages nommées</vt:lpstr>
      </vt:variant>
      <vt:variant>
        <vt:i4>5</vt:i4>
      </vt:variant>
    </vt:vector>
  </HeadingPairs>
  <TitlesOfParts>
    <vt:vector size="12" baseType="lpstr">
      <vt:lpstr>Introduction</vt:lpstr>
      <vt:lpstr>C_Financier</vt:lpstr>
      <vt:lpstr>PQI</vt:lpstr>
      <vt:lpstr>Economique</vt:lpstr>
      <vt:lpstr>Simulation</vt:lpstr>
      <vt:lpstr>resume</vt:lpstr>
      <vt:lpstr>graphique</vt:lpstr>
      <vt:lpstr>Postes_Bud_Revenus</vt:lpstr>
      <vt:lpstr>Principaux_portefeuilles</vt:lpstr>
      <vt:lpstr>Sc_econo</vt:lpstr>
      <vt:lpstr>Sc_prevision</vt:lpstr>
      <vt:lpstr>Taux_interets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2022-09-13T02:35:17Z</cp:lastPrinted>
  <dcterms:modified xsi:type="dcterms:W3CDTF">2022-09-14T01:52:18Z</dcterms:modified>
</cp:coreProperties>
</file>